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EstaPasta_de_trabalho"/>
  <bookViews>
    <workbookView xWindow="28680" yWindow="-120" windowWidth="21840" windowHeight="13020" tabRatio="801" activeTab="4"/>
  </bookViews>
  <sheets>
    <sheet name="MENU" sheetId="15" r:id="rId1"/>
    <sheet name="DADOS" sheetId="2" r:id="rId2"/>
    <sheet name="NOVO" sheetId="3" r:id="rId3"/>
    <sheet name="BDI" sheetId="4" r:id="rId4"/>
    <sheet name="ORÇAMENTO" sheetId="5" r:id="rId5"/>
    <sheet name="CÁLCULO" sheetId="6" r:id="rId6"/>
    <sheet name="EVENTOS" sheetId="7" r:id="rId7"/>
    <sheet name="CRONO" sheetId="8" r:id="rId8"/>
    <sheet name="CRONOPLE" sheetId="9" r:id="rId9"/>
    <sheet name="PLE" sheetId="10" r:id="rId10"/>
    <sheet name="QCI" sheetId="11" r:id="rId11"/>
    <sheet name="BM" sheetId="12" r:id="rId12"/>
    <sheet name="RRE" sheetId="13" r:id="rId13"/>
    <sheet name="OFÍCIO" sheetId="14" r:id="rId14"/>
  </sheets>
  <definedNames>
    <definedName name="_xlnm._FilterDatabase" localSheetId="3" hidden="1">BDI!$I$11:$I$132</definedName>
    <definedName name="_xlnm._FilterDatabase" localSheetId="11" hidden="1">BM!$C$15:$C$43</definedName>
    <definedName name="_xlnm._FilterDatabase" localSheetId="5" hidden="1">CÁLCULO!$C$15:$C$43</definedName>
    <definedName name="_xlnm._FilterDatabase" localSheetId="7" hidden="1">CRONO!$F$13:$F$33</definedName>
    <definedName name="_xlnm._FilterDatabase" localSheetId="8" hidden="1">CRONOPLE!$A$13:$A$15</definedName>
    <definedName name="_xlnm._FilterDatabase" localSheetId="4" hidden="1">ORÇAMENTO!$L$15:$L$43</definedName>
    <definedName name="_xlnm._FilterDatabase" localSheetId="9" hidden="1">PLE!$A$13:$A$79</definedName>
    <definedName name="_xlnm._FilterDatabase" localSheetId="10" hidden="1">QCI!$C$13:$C$25</definedName>
    <definedName name="_xlnm._FilterDatabase" localSheetId="12" hidden="1">RRE!$D$13:$D$30</definedName>
    <definedName name="ACOMPANHAMENTO" hidden="1">IF(VALUE(MENU!$O$4)=2,"BM","PLE")</definedName>
    <definedName name="_xlnm.Print_Area" localSheetId="3">BDI!$J$1:$S$132</definedName>
    <definedName name="_xlnm.Print_Area" localSheetId="11">BM!$D$1:$O$58</definedName>
    <definedName name="_xlnm.Print_Area" localSheetId="5">CÁLCULO!$E$1:$AA$51</definedName>
    <definedName name="_xlnm.Print_Area" localSheetId="7">CRONO!$H$1:$AF$33</definedName>
    <definedName name="_xlnm.Print_Area" localSheetId="0">MENU!$A$1:$I$25</definedName>
    <definedName name="_xlnm.Print_Area" localSheetId="13">OFÍCIO!$A$1:$G$56</definedName>
    <definedName name="_xlnm.Print_Area" localSheetId="4">ORÇAMENTO!$O$1:$Y$60</definedName>
    <definedName name="_xlnm.Print_Area" localSheetId="9">PLE!$B$3:$AG$80</definedName>
    <definedName name="_xlnm.Print_Area" localSheetId="10">QCI!$D$1:$O$37</definedName>
    <definedName name="_xlnm.Print_Area" localSheetId="12">RRE!$E$1:$P$49</definedName>
    <definedName name="AUTOEVENTO" hidden="1">CÁLCULO!$A$12</definedName>
    <definedName name="BDI.Filtro" hidden="1">BDI!$I$11:$I$132</definedName>
    <definedName name="BDI.Opcao" hidden="1">DADOS!$F$18</definedName>
    <definedName name="BDI.TipoObra" hidden="1">BDI!$A$138:$A$146</definedName>
    <definedName name="BM.AFAcumulado" hidden="1">BM!$R1</definedName>
    <definedName name="BM.AFAnterior" hidden="1">BM!$Q1</definedName>
    <definedName name="BM.CaixaColunas" hidden="1">BM!$Q:$Z</definedName>
    <definedName name="BM.Filtro" hidden="1">BM!$C$15:$C$43</definedName>
    <definedName name="BM.firstrow" hidden="1">BM!$15:$15</definedName>
    <definedName name="BM.FormulaMed" hidden="1">BM!$AO$7</definedName>
    <definedName name="BM.lastrow" hidden="1">BM!$43:$43</definedName>
    <definedName name="BM.LinhaPadrão" hidden="1">BM!$14:$14</definedName>
    <definedName name="BM.MaxMed" hidden="1">IF(RegimeExecucao="Global",1,BM!$G1)</definedName>
    <definedName name="BM.MCAIXA.Filter" hidden="1">BM!$C$15:$Z$43</definedName>
    <definedName name="BM.MEDAcumulado" hidden="1">IF(COUNTIF(BM!$AB$13:$AM$13,BM.medicao)&gt;0,SUM(OFFSET(BM!$AB1,0,0,1,MATCH(BM.medicao,BM!$AB$13:$AM$13,0))),0)</definedName>
    <definedName name="BM.MEDAnterior" hidden="1">IF(COUNTIF(BM!$AB$13:$AM$13,BM.medicao-1)&gt;0,SUM(OFFSET(BM!$AB1,0,0,1,MATCH(BM.medicao-1,BM!$AB$13:$AM$13,0))),0)</definedName>
    <definedName name="BM.medicao" hidden="1">OFFSET(BM!$O$7,1,0)</definedName>
    <definedName name="BM.MinMed" hidden="1">IF(RegimeExecucao="Global",-1,-BM!$G1)</definedName>
    <definedName name="BM.TomadorColunas" hidden="1">BM!$AB:$AN</definedName>
    <definedName name="Brasao" hidden="1">OFÍCIO!$B$1</definedName>
    <definedName name="CAIXA.Modo" hidden="1">BM!$A$3</definedName>
    <definedName name="CÁLCULO.AgrupEventos" hidden="1">CÁLCULO!$K1</definedName>
    <definedName name="CÁLCULO.ColunaPadrão" hidden="1">CÁLCULO!$O:$O</definedName>
    <definedName name="CÁLCULO.Filtro" hidden="1">CÁLCULO!$C$15:$C$43</definedName>
    <definedName name="CÁLCULO.firstcol" hidden="1">CÁLCULO!$P:$P</definedName>
    <definedName name="CÁLCULO.firstrow" hidden="1">CÁLCULO!$15:$15</definedName>
    <definedName name="CÁLCULO.Frenterow" hidden="1">CÁLCULO!$12:$12</definedName>
    <definedName name="CÁLCULO.lastcol" hidden="1">CÁLCULO!$AA:$AA</definedName>
    <definedName name="CÁLCULO.lastrow" hidden="1">CÁLCULO!$43:$43</definedName>
    <definedName name="CÁLCULO.LinhaPadrão" hidden="1">CÁLCULO!$14:$14</definedName>
    <definedName name="CÁLCULO.margemrow" hidden="1">CÁLCULO!$51:$51</definedName>
    <definedName name="CÁLCULO.MATRIZ1.ColunaPadrão" hidden="1">CÁLCULO!$AC:$AC</definedName>
    <definedName name="CÁLCULO.MATRIZ1.firstcol" hidden="1">CÁLCULO!$AA:$AA</definedName>
    <definedName name="CÁLCULO.MATRIZ1.lastcol" hidden="1">CÁLCULO!$AL:$AL</definedName>
    <definedName name="CÁLCULO.MATRIZ1.lastrow" hidden="1">CÁLCULO!$43:$43</definedName>
    <definedName name="CÁLCULO.MATRIZ2.ColunaPadrão" hidden="1">CÁLCULO!$AN:$AN</definedName>
    <definedName name="CÁLCULO.MATRIZ2.firstcol" hidden="1">CÁLCULO!$AL:$AL</definedName>
    <definedName name="CÁLCULO.MATRIZ2.lastcol" hidden="1">CÁLCULO!$AW:$AW</definedName>
    <definedName name="CÁLCULO.MATRIZ2.lastrow" hidden="1">CÁLCULO!$43:$43</definedName>
    <definedName name="CÁLCULO.MATRIZ3.ColunaPadrão" hidden="1">CÁLCULO!$AY:$AY</definedName>
    <definedName name="CÁLCULO.MATRIZ3.firstcol" hidden="1">CÁLCULO!$AW:$AW</definedName>
    <definedName name="CÁLCULO.MATRIZ3.lastcol" hidden="1">CÁLCULO!$BH:$BH</definedName>
    <definedName name="CÁLCULO.MATRIZ3.lastrow" hidden="1">CÁLCULO!$43:$43</definedName>
    <definedName name="CÁLCULO.NúmeroDeEventos" hidden="1">IF(AUTOEVENTO&lt;&gt;"manual",MAX(CÁLCULO!$M$15:$M$43),MAX(OFFSET(EVENTOS!$C$14:$C$65,1,0)))</definedName>
    <definedName name="CÁLCULO.NúmeroDeFrentes" hidden="1">COLUMN(CÁLCULO!$AA$15)-COLUMN(CÁLCULO!$Q$15)</definedName>
    <definedName name="CÁLCULO.TotalAdmLocal" hidden="1">IF(AUTOEVENTO="manual",SUMIF(CÁLCULO!$M$15:$M$43,1,ORÇAMENTO!$X$15:$X$43),0)</definedName>
    <definedName name="CRONO.ColunaPadrão" hidden="1">CRONO!$D:$D</definedName>
    <definedName name="CRONO.Filtro" hidden="1">CRONO!$F$13:$F$33</definedName>
    <definedName name="CRONO.FirstCol" hidden="1">CRONO!$S:$S</definedName>
    <definedName name="CRONO.firstrow" hidden="1">CRONO!$13:$13</definedName>
    <definedName name="CRONO.Frenterow" hidden="1">CRONO!$12:$12</definedName>
    <definedName name="CRONO.LastCol" hidden="1">CRONO!$AF:$AF</definedName>
    <definedName name="CRONO.lastrow" hidden="1">CRONO!$28:$28</definedName>
    <definedName name="CRONO.LinhaPadrão" hidden="1">CRONO!$1:$3</definedName>
    <definedName name="CRONO.LinhasNecessarias" hidden="1">COUNTIF(QCI!$B$13:$B$24,"Manual")+COUNTIF(QCI!$B$13:$B$24,"SemiAuto")+COUNT(ORÇAMENTO.ListaCrono)</definedName>
    <definedName name="CRONO.margemrow" hidden="1">CRONO!$33:$33</definedName>
    <definedName name="CRONO.MaxParc" hidden="1">CRONO!$G1048576+CRONO!A1</definedName>
    <definedName name="CRONO.NivelExibicao" hidden="1">CRONO!$G$10</definedName>
    <definedName name="CRONO.Parcela1" hidden="1">CRONO!$T$12:$T$13</definedName>
    <definedName name="CRONOPLE.ColunaPadrão" hidden="1">CRONOPLE!$E:$E</definedName>
    <definedName name="CRONOPLE.FirstCol" hidden="1">CRONOPLE!$F:$F</definedName>
    <definedName name="CRONOPLE.firstrow" hidden="1">CRONOPLE!$15:$15</definedName>
    <definedName name="CRONOPLE.Frenterow" hidden="1">CRONOPLE!$11:$11</definedName>
    <definedName name="CRONOPLE.LastCol" hidden="1">CRONOPLE!$AF:$AF</definedName>
    <definedName name="CRONOPLE.lastrow" hidden="1">CRONOPLE!$65:$65</definedName>
    <definedName name="CRONOPLE.LinhaPadrão" hidden="1">CRONOPLE!$1:$1</definedName>
    <definedName name="CRONOPLE.margemrow" hidden="1">CRONOPLE!$66:$66</definedName>
    <definedName name="CRONOPLE.ValorDoEvento" hidden="1">SUMIF(CÁLCULO!$M$15:$M$43,CRONOPLE!$B1,OFFSET(CÁLCULO!$AA$15:$AA$43,0,CRONOPLE!A$12))</definedName>
    <definedName name="DESONERACAO" hidden="1">IF(OR(Import.Desoneracao="DESONERADO",Import.Desoneracao="SIM"),"SIM","NÃO")</definedName>
    <definedName name="EVENTOS.firstrow" hidden="1">EVENTOS!$15:$15</definedName>
    <definedName name="EVENTOS.lastrow" hidden="1">EVENTOS!$65:$65</definedName>
    <definedName name="EVENTOS.LinhaPadrão" hidden="1">EVENTOS!$14:$14</definedName>
    <definedName name="EVENTOS.Lista" hidden="1">EVENTOS!$C$15:OFFSET(EVENTOS!$C$65,-1,0)</definedName>
    <definedName name="EVENTOS.ListaValidacao" hidden="1">EVENTOS!$B$15:OFFSET(EVENTOS!$B$65,-1,0)</definedName>
    <definedName name="Excel_BuiltIn_Database" hidden="1">TEXT(Import.DataBase,"mm-aaaa")</definedName>
    <definedName name="Import.Apelido" hidden="1">DADOS!$F$16</definedName>
    <definedName name="Import.BDI.Det1" hidden="1">BDI!$S$21:$S$26</definedName>
    <definedName name="Import.BDI.Det2" hidden="1">BDI!$S$61:$S$66</definedName>
    <definedName name="Import.BDI.Det3" hidden="1">BDI!$S$101:$S$106</definedName>
    <definedName name="Import.BDI.ISS" hidden="1">BDI!$R$10:$S$11</definedName>
    <definedName name="Import.BDI.Obs1" hidden="1">BDI!$J$43</definedName>
    <definedName name="Import.BDI.Obs2" hidden="1">BDI!$J$83</definedName>
    <definedName name="Import.BDI.Obs3" hidden="1">BDI!$J$123</definedName>
    <definedName name="Import.BDI.Tipo1" hidden="1">BDI!$J$17</definedName>
    <definedName name="Import.BDI.Tipo2" hidden="1">BDI!$J$57</definedName>
    <definedName name="Import.BDI.Tipo3" hidden="1">BDI!$J$97</definedName>
    <definedName name="Import.BM.Datas" hidden="1">BM!$AB$12:$AM$12</definedName>
    <definedName name="Import.BM.Obs" hidden="1">BM!$D$46</definedName>
    <definedName name="Import.BMAFAcumulado" hidden="1">OFFSET(BM!$R$15,1,0):OFFSET(BM!$R$43,-1,0)</definedName>
    <definedName name="Import.BMArred" hidden="1">BM!$A$9</definedName>
    <definedName name="Import.CNPJ" hidden="1">DADOS!$F$39</definedName>
    <definedName name="Import.Código" hidden="1">OFFSET(ORÇAMENTO!$Q$15,1,0):OFFSET(ORÇAMENTO!$Q$43,-1,0)</definedName>
    <definedName name="Import.Contrapartida" hidden="1">DADOS!$F$10</definedName>
    <definedName name="Import.CPMaxPerc" hidden="1">DADOS!$F$13</definedName>
    <definedName name="Import.CPMinAbsoluta" hidden="1">DADOS!$F$12</definedName>
    <definedName name="Import.CPMinPerc" hidden="1">DADOS!$F$11</definedName>
    <definedName name="Import.CR" hidden="1">DADOS!$F$7</definedName>
    <definedName name="Import.CRONOPLE" hidden="1">OFFSET(CRONOPLE!$F$15,1,1):OFFSET(CRONOPLE!$AF$65,-1,-1)</definedName>
    <definedName name="Import.CTEF" hidden="1">DADOS!$F$37</definedName>
    <definedName name="Import.CustoUnitário" hidden="1">OFFSET(ORÇAMENTO!$U$15,1,0):OFFSET(ORÇAMENTO!$U$43,-1,0)</definedName>
    <definedName name="Import.DataBase" hidden="1">OFFSET(DADOS!$G$19,0,-1)</definedName>
    <definedName name="Import.DataBaseLicit" hidden="1">OFFSET(DADOS!$G$41,0,-1)</definedName>
    <definedName name="Import.DataEmissaoLicit" hidden="1">DADOS!$F$36</definedName>
    <definedName name="Import.DataInicioObra" hidden="1">DADOS!$F$47</definedName>
    <definedName name="Import.DescLote" hidden="1">DADOS!$F$17</definedName>
    <definedName name="Import.Descrição" hidden="1">OFFSET(ORÇAMENTO!$R$15,1,0):OFFSET(ORÇAMENTO!$R$43,-1,0)</definedName>
    <definedName name="Import.Desoneracao" hidden="1">OFFSET(DADOS!$G$18,0,-1)</definedName>
    <definedName name="Import.empresa" hidden="1">DADOS!$F$38</definedName>
    <definedName name="Import.Eventos.Nível" hidden="1">EVENTOS!$C$6</definedName>
    <definedName name="Import.Eventos.Nomes" hidden="1">OFFSET(EVENTOS!$D$15,1,0):OFFSET(EVENTOS!$D$65,-1,0)</definedName>
    <definedName name="Import.Fonte" hidden="1">OFFSET(ORÇAMENTO!$P$15,1,0):OFFSET(ORÇAMENTO!$P$43,-1,0)</definedName>
    <definedName name="Import.FrenteDeObra" hidden="1">CÁLCULO!$Q$12:OFFSET(CÁLCULO!$AA$12,0,-1)</definedName>
    <definedName name="Import.Município" hidden="1">DADOS!$F$6</definedName>
    <definedName name="Import.Nível" hidden="1">OFFSET(ORÇAMENTO!$M$15,1,0):OFFSET(ORÇAMENTO!$M$43,-1,0)</definedName>
    <definedName name="Import.Ofício.Dest" hidden="1">OFÍCIO!$B$11</definedName>
    <definedName name="Import.Ofício.GIGOV" hidden="1">OFÍCIO!$C$11</definedName>
    <definedName name="Import.Ofício.Num" hidden="1">OFÍCIO!$C$6</definedName>
    <definedName name="Import.OpcaoBDI" hidden="1">OFFSET(ORÇAMENTO!$V$15,1,0):OFFSET(ORÇAMENTO!$V$43,-1,0)</definedName>
    <definedName name="Import.ORÇAMENTO.DivRecurso" hidden="1">OFFSET(ORÇAMENTO!$Y$15,1,0):OFFSET(ORÇAMENTO!$Y$43,-1,0)</definedName>
    <definedName name="Import.ORÇAMENTO.Obs" hidden="1">ORÇAMENTO!$O$49</definedName>
    <definedName name="Import.PLE" hidden="1">OFFSET(PLE!$G$15,1,1):OFFSET(PLE!$AG$65,-1,-1)</definedName>
    <definedName name="Import.PLE.Datas" hidden="1">PLE!$I$68:$AF$68</definedName>
    <definedName name="Import.PLQ" hidden="1">OFFSET(CÁLCULO!$P$15,1,1):OFFSET(CÁLCULO!$AA$43,-1,-1)</definedName>
    <definedName name="Import.PLQ.MemCalc" hidden="1">OFFSET(CÁLCULO!$I$15,1,0):OFFSET(CÁLCULO!$I$43,-1,0)</definedName>
    <definedName name="Import.POArred" hidden="1">ORÇAMENTO!$AF$7:$AF$11</definedName>
    <definedName name="IMport.Prefeito" hidden="1">DADOS!$F$28:$F$29</definedName>
    <definedName name="Import.Proponente" hidden="1">DADOS!$F$5</definedName>
    <definedName name="Import.QCI.Divisao" hidden="1">OFFSET(QCI!$V$13,1,0):OFFSET(QCI!$V$24,-1,0)</definedName>
    <definedName name="Import.QCI.ItemInv" hidden="1">OFFSET(QCI!$E$13,1,0):OFFSET(QCI!$E$24,-1,0)</definedName>
    <definedName name="Import.QCI.Obs" hidden="1">QCI!$D$28</definedName>
    <definedName name="Import.QCI.Qtde" hidden="1">OFFSET(QCI!$I$13,1,0):OFFSET(QCI!$I$24,-1,0)</definedName>
    <definedName name="Import.QCI.Situacao" hidden="1">OFFSET(QCI!$H$13,1,0):OFFSET(QCI!$H$24,-1,0)</definedName>
    <definedName name="Import.QCI.SubItemInv" hidden="1">OFFSET(QCI!$F$13,1,0):OFFSET(QCI!$F$24,-1,0)</definedName>
    <definedName name="Import.QCICP" hidden="1">OFFSET(QCI!$W$13,1,0):OFFSET(QCI!$W$24,-1,0)</definedName>
    <definedName name="Import.QCIDesc" hidden="1">OFFSET(QCI!$R$13,1,0):OFFSET(QCI!$R$24,-1,0)</definedName>
    <definedName name="Import.QCIInv" hidden="1">OFFSET(QCI!$U$13,1,0):OFFSET(QCI!$U$24,-1,0)</definedName>
    <definedName name="Import.QCILote" hidden="1">OFFSET(QCI!$T$13,1,0):OFFSET(QCI!$T$24,-1,0)</definedName>
    <definedName name="Import.QCIOutros" hidden="1">OFFSET(QCI!$X$13,1,0):OFFSET(QCI!$X$24,-1,0)</definedName>
    <definedName name="Import.Quantidade" hidden="1">OFFSET(ORÇAMENTO!$AJ$15,1,0):OFFSET(ORÇAMENTO!$AJ$43,-1,0)</definedName>
    <definedName name="import.recurso" hidden="1">DADOS!$F$4</definedName>
    <definedName name="Import.RegimeExecução" hidden="1">OFFSET(DADOS!$G$40,0,-1)</definedName>
    <definedName name="Import.Repasse" hidden="1">DADOS!$F$9</definedName>
    <definedName name="Import.RespFiscalização" hidden="1">DADOS!$F$51:$F$54</definedName>
    <definedName name="Import.RespOrçamento" hidden="1">DADOS!$F$22:$F$24</definedName>
    <definedName name="Import.RRE.Financeiro" hidden="1">RRE!$M$47:$O$49</definedName>
    <definedName name="Import.RRE.Obs" hidden="1">RRE!$E$31</definedName>
    <definedName name="Import.RRE.Social" hidden="1">RRE!$F$47:$G$49</definedName>
    <definedName name="Import.SICONV" hidden="1">DADOS!$F$8</definedName>
    <definedName name="Import.TipoArredondamento" hidden="1">DADOS!$F$31</definedName>
    <definedName name="Import.TransfereGOV" hidden="1">DADOS!$F$8</definedName>
    <definedName name="Import.Unidade" hidden="1">OFFSET(ORÇAMENTO!$S$15,1,0):OFFSET(ORÇAMENTO!$S$43,-1,0)</definedName>
    <definedName name="Import.UnitarioLicitado" hidden="1">OFFSET(ORÇAMENTO!$AL$15,1,0):OFFSET(ORÇAMENTO!$AL$43,-1,0)</definedName>
    <definedName name="MENU.Acompanhamento" hidden="1">MENU!$O$4</definedName>
    <definedName name="Menu.b.bdi" hidden="1">MENU!$C$10</definedName>
    <definedName name="Menu.b.bm" hidden="1">MENU!$G$22</definedName>
    <definedName name="Menu.b.branco" hidden="1">MENU!$G$12</definedName>
    <definedName name="Menu.b.cronolicit" hidden="1">MENU!$G$18</definedName>
    <definedName name="Menu.b.cronoprop" hidden="1">MENU!$E$12</definedName>
    <definedName name="Menu.b.dados" hidden="1">MENU!$E$6</definedName>
    <definedName name="Menu.b.novo" hidden="1">MENU!$G$6</definedName>
    <definedName name="Menu.b.oficio" hidden="1">MENU!$E$24</definedName>
    <definedName name="Menu.b.orçlicit" hidden="1">MENU!$C$18</definedName>
    <definedName name="Menu.b.orçprop" hidden="1">MENU!$E$10</definedName>
    <definedName name="Menu.b.PLE" hidden="1">MENU!$C$22</definedName>
    <definedName name="Menu.b.PLQ" hidden="1">MENU!$G$10</definedName>
    <definedName name="Menu.b.QCIlicit" hidden="1">MENU!$E$18</definedName>
    <definedName name="Menu.b.qciprop" hidden="1">MENU!$C$12</definedName>
    <definedName name="Menu.b.RRE" hidden="1">MENU!$E$22</definedName>
    <definedName name="MENU.CRONO" hidden="1">OFFSET(CRONO!$T$11,1,0)</definedName>
    <definedName name="MENU.CRONOPLE" hidden="1">CRONOPLE!$B$5</definedName>
    <definedName name="MENU.TipoOrçamento" hidden="1">MENU!$O$3</definedName>
    <definedName name="Menu.tit.acompanhamento" hidden="1">MENU!$B$20</definedName>
    <definedName name="Menu.tit.licitacao" hidden="1">MENU!$B$16</definedName>
    <definedName name="Menu.tit.proposta" hidden="1">MENU!$B$8</definedName>
    <definedName name="Objeto" hidden="1">MENU!$J$1</definedName>
    <definedName name="ORÇAMENTO.BancoRef" hidden="1">ORÇAMENTO!$F$8</definedName>
    <definedName name="ORÇAMENTO.CodBarra" hidden="1">IF(ORÇAMENTO.Fonte="Sinapi",SUBSTITUTE(SUBSTITUTE(ORÇAMENTO.Codigo,"/00","/"),"/0","/"),ORÇAMENTO.Codigo)</definedName>
    <definedName name="ORÇAMENTO.Codigo" hidden="1">ORÇAMENTO!$Q1</definedName>
    <definedName name="ORÇAMENTO.ColunaLicit" hidden="1">ORÇAMENTO!$AL$15</definedName>
    <definedName name="ORÇAMENTO.CopyFormat1" hidden="1">ORÇAMENTO!$P$14:$S$14</definedName>
    <definedName name="ORÇAMENTO.CopyFormat2" hidden="1">ORÇAMENTO!$U$14:$V$14</definedName>
    <definedName name="ORÇAMENTO.CustoUnitario" hidden="1">ROUND(ORÇAMENTO!$U1,15-13*ORÇAMENTO!$AF$8)</definedName>
    <definedName name="ORÇAMENTO.Descricao" hidden="1">ORÇAMENTO!$R1</definedName>
    <definedName name="ORÇAMENTO.Filtro" hidden="1">ORÇAMENTO!$L$15:$L$43</definedName>
    <definedName name="ORÇAMENTO.firstrow" hidden="1">ORÇAMENTO!$15:$15</definedName>
    <definedName name="ORÇAMENTO.Fonte" hidden="1">ORÇAMENTO!$P1</definedName>
    <definedName name="ORÇAMENTO.lastrow" hidden="1">ORÇAMENTO!$43:$43</definedName>
    <definedName name="ORÇAMENTO.LinhaPadrão" hidden="1">ORÇAMENTO!$14:$14</definedName>
    <definedName name="ORÇAMENTO.ListaCrono" hidden="1">OFFSET(ORÇAMENTO!$AD$15,1,0):OFFSET(ORÇAMENTO!$AD$43,-1,0)</definedName>
    <definedName name="ORÇAMENTO.MáximoListaCrono" hidden="1">MAX(ORÇAMENTO.ListaCrono)</definedName>
    <definedName name="ORÇAMENTO.Nivel" hidden="1">ORÇAMENTO!$M1</definedName>
    <definedName name="ORÇAMENTO.OpcaoBDI" hidden="1">ORÇAMENTO!$V1</definedName>
    <definedName name="ORÇAMENTO.PasteFormat1" hidden="1">OFFSET(ORÇAMENTO!$P$15,1,0):OFFSET(ORÇAMENTO!$S$43,-1,0)</definedName>
    <definedName name="ORÇAMENTO.PasteFormat2" hidden="1">OFFSET(ORÇAMENTO!$U$15,1,0):OFFSET(ORÇAMENTO!$V$43,-1,0)</definedName>
    <definedName name="ORÇAMENTO.PrecoUnitarioLicitado" hidden="1">ORÇAMENTO!$AL1</definedName>
    <definedName name="ORÇAMENTO.QuantBM" hidden="1">ORÇAMENTO!$AJ1</definedName>
    <definedName name="ORÇAMENTO.RangeQuant" hidden="1">OFFSET(ORÇAMENTO!$T$15,1,0):OFFSET(ORÇAMENTO!$T$43,-1,0)</definedName>
    <definedName name="ORÇAMENTO.SumCPMANUAL" hidden="1">SUMIF(ORÇAMENTO!$Z$15:$Z$43,"CP",ORÇAMENTO!$AA$15:$AA$43)</definedName>
    <definedName name="ORÇAMENTO.SumINVMANUAL" hidden="1">SUMIF(ORÇAMENTO!$Z$15:$Z$43,"RP",ORÇAMENTO!$X$15:$X$43)+SUMIF(ORÇAMENTO!$Z$15:$Z$43,"CP",ORÇAMENTO!$X$15:$X$43)+SUMIF(ORÇAMENTO!$Z$15:$Z$43,"OU",ORÇAMENTO!$X$15:$X$43)</definedName>
    <definedName name="ORÇAMENTO.SumOUTROSMANUAL" hidden="1">SUMIF(ORÇAMENTO!$Z$15:$Z$43,"OU",ORÇAMENTO!$AB$15:$AB$43)</definedName>
    <definedName name="ORÇAMENTO.SumREPASSEMANUAL" hidden="1">ORÇAMENTO.SumINVMANUAL-ORÇAMENTO.SumCPMANUAL-ORÇAMENTO.SumOUTROSMANUAL</definedName>
    <definedName name="ORÇAMENTO.Unidade" hidden="1">ORÇAMENTO!$S1</definedName>
    <definedName name="PLE.ColunaPadrão" hidden="1">PLE!$F:$F</definedName>
    <definedName name="PLE.Filtro" hidden="1">PLE!$A$13:$A$79</definedName>
    <definedName name="PLE.FirstCol" hidden="1">PLE!$G:$G</definedName>
    <definedName name="PLE.firstrow" hidden="1">PLE!$15:$15</definedName>
    <definedName name="PLE.FrenteRow" hidden="1">PLE!$11:$11</definedName>
    <definedName name="PLE.LastCol" hidden="1">PLE!$AG:$AG</definedName>
    <definedName name="PLE.lastrow" hidden="1">PLE!$65:$65</definedName>
    <definedName name="PLE.LinhaPadrão" hidden="1">PLE!$1:$1</definedName>
    <definedName name="PLE.margemrow" hidden="1">PLE!$80:$80</definedName>
    <definedName name="PLE.Medicao" hidden="1">PLE!$J$9</definedName>
    <definedName name="PLE.MEDIÇÕES.firstrow" hidden="1">PLE!$66:$66</definedName>
    <definedName name="PLE.MEDIÇÕES.lastrow" hidden="1">PLE!$74:$74</definedName>
    <definedName name="PLE.MEDIÇÕES.LinhaPadrão" hidden="1">PLE!$66:$73</definedName>
    <definedName name="PLE.ValorDoEvento" hidden="1">SUMIF(CÁLCULO!$M$15:$M$43,PLE!$B1,OFFSET(CÁLCULO!$AA$15:$AA$43,0,PLE!A$12))</definedName>
    <definedName name="PO.ValoresBDI" hidden="1">OFFSET(ORÇAMENTO!$AH$15,1,0):OFFSET(ORÇAMENTO!$AH$43,-1,0)</definedName>
    <definedName name="QCI.CPManual" hidden="1">ROUND(QCI!$W1,2)</definedName>
    <definedName name="QCI.DescManual" hidden="1">QCI!$R1</definedName>
    <definedName name="QCI.Divisao" hidden="1">QCI!$V1</definedName>
    <definedName name="QCI.ExisteManual" hidden="1">(COUNTIF(QCI!$B$13:$B$24,"Manual")+COUNTIF(QCI!$B$13:$B$24,"SemiAuto"))&gt;0</definedName>
    <definedName name="QCI.Filtro" hidden="1">QCI!$C$13:$C$25</definedName>
    <definedName name="QCI.firstrow" hidden="1">QCI!$13:$13</definedName>
    <definedName name="QCI.InvManual" hidden="1">ROUND(QCI!$U1,2)</definedName>
    <definedName name="QCI.ItemInvestimento" hidden="1">OFFSET(DADOS!$J$2,1,0,COUNTA(DADOS!$J:$J)-1,1)</definedName>
    <definedName name="QCI.lastrow" hidden="1">QCI!$24:$24</definedName>
    <definedName name="QCI.LinhaPadrão" hidden="1">QCI!$12:$12</definedName>
    <definedName name="QCI.LoteManual" hidden="1">QCI!$T1</definedName>
    <definedName name="QCI.MaxCPManual" hidden="1">QCI!$O1-QCI!$X1</definedName>
    <definedName name="QCI.MaxOUManual" hidden="1">QCI!$O1-QCI!$W1</definedName>
    <definedName name="QCI.OutrosManual" hidden="1">ROUND(QCI!$X1,2)</definedName>
    <definedName name="QCI.RepasseManual" hidden="1">QCI!$U1</definedName>
    <definedName name="QCI.SubItemInvestimento" hidden="1">OFFSET(DADOS!$A$2,1,MATCH(QCI!$E1,DADOS!$2:$2,0)-1,INDEX(DADOS!$2:$2,MATCH(QCI!$E1,DADOS!$2:$2,0)+1))</definedName>
    <definedName name="QCI.SumCPMANUAL" hidden="1">SUMIF(QCI!$B$13:$B$24,"Manual",QCI!$AA$13:$AA$24)</definedName>
    <definedName name="QCI.SumINVMANUAL" hidden="1">SUMIF(QCI!$B$13:$B$24,"Manual",QCI!$O$13:$O$24)</definedName>
    <definedName name="QCI.SumOUTROSMANUAL" hidden="1">SUMIF(QCI!$B$13:$B$24,"Manual",QCI!$AB$13:$AB$24)</definedName>
    <definedName name="QCI.SumREPASSEMANUAL" hidden="1">QCI.SumINVMANUAL-QCI.CPManual-QCI.OutrosManual</definedName>
    <definedName name="QCI.TotalCP" hidden="1">QCI!$M$24</definedName>
    <definedName name="REFERENCIA.Descricao" hidden="1">IF(ISNUMBER(ORÇAMENTO!$AF1),OFFSET(INDIRECT(ORÇAMENTO.BancoRef),ORÇAMENTO!$AF1-1,3,1),ORÇAMENTO!$AF1)</definedName>
    <definedName name="REFERENCIA.Desonerado" hidden="1">IF(ISNUMBER(ORÇAMENTO!$AF1),VALUE(OFFSET(INDIRECT(ORÇAMENTO.BancoRef),ORÇAMENTO!$AF1-1,5,1)),0)</definedName>
    <definedName name="REFERENCIA.NaoDesonerado" hidden="1">IF(ISNUMBER(ORÇAMENTO!$AF1),VALUE(OFFSET(INDIRECT(ORÇAMENTO.BancoRef),ORÇAMENTO!$AF1-1,6,1)),0)</definedName>
    <definedName name="REFERENCIA.Unidade" hidden="1">IF(ISNUMBER(ORÇAMENTO!$AF1),OFFSET(INDIRECT(ORÇAMENTO.BancoRef),ORÇAMENTO!$AF1-1,4,1),"-")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CPDiferente" hidden="1">RRE!$Y$26:$Z$27</definedName>
    <definedName name="RRE.Filtro" hidden="1">RRE!$D$13:$D$28</definedName>
    <definedName name="RRE.firstrow" hidden="1">RRE!$13:$13</definedName>
    <definedName name="RRE.lastrow" hidden="1">RRE!$24:$24</definedName>
    <definedName name="RRE.LinhaPadrão" hidden="1">RRE!$12:$12</definedName>
    <definedName name="RRE.MaxCPAcum" hidden="1">RRE!$AD$26</definedName>
    <definedName name="RRE.MaxCPAnt" hidden="1">RRE!$AC$26</definedName>
    <definedName name="RRE.MaxOUAcum" hidden="1">RRE!$AD$27</definedName>
    <definedName name="RRE.MaxOUAnt" hidden="1">RRE!$AC$27</definedName>
    <definedName name="RRE.Numero" hidden="1">OFFSET(RRE!$O$7,0,1)</definedName>
    <definedName name="RRE.VIMeta" hidden="1">RRE!$L1</definedName>
    <definedName name="SENHAGT" hidden="1">"PM3CAIXA"</definedName>
    <definedName name="SomaAgrup" hidden="1">SUMIF(OFFSET(ORÇAMENTO!$C1,1,0,ORÇAMENTO!$D1),"S",OFFSET(ORÇAMENTO!A1,1,0,ORÇAMENTO!$D1))</definedName>
    <definedName name="SomaAgrupBM" hidden="1">SUMIF(OFFSET(BM!$A1,1,0,BM!$B1),"S",OFFSET(BM!A1,1,0,BM!$B1))</definedName>
    <definedName name="TIPOORCAMENTO" hidden="1">IF(VALUE(MENU!$O$3)=2,"Licitado","Proposto")</definedName>
    <definedName name="_xlnm.Print_Titles" localSheetId="3">BDI!$1:$13</definedName>
    <definedName name="_xlnm.Print_Titles" localSheetId="11">BM!$1:$15</definedName>
    <definedName name="_xlnm.Print_Titles" localSheetId="5">CÁLCULO!$E:$H,CÁLCULO!$1:$15</definedName>
    <definedName name="_xlnm.Print_Titles" localSheetId="7">CRONO!$H:$S,CRONO!$1:$13</definedName>
    <definedName name="_xlnm.Print_Titles" localSheetId="4">ORÇAMENTO!$1:$15</definedName>
    <definedName name="_xlnm.Print_Titles" localSheetId="9">PLE!$B:$E,PLE!$1:$13</definedName>
    <definedName name="_xlnm.Print_Titles" localSheetId="10">QCI!$1:$13</definedName>
    <definedName name="_xlnm.Print_Titles" localSheetId="12">RRE!$1:$13</definedName>
    <definedName name="Versao" hidden="1">MENU!$J$2</definedName>
    <definedName name="VTOTAL1" hidden="1">ROUND(ORÇAMENTO!$T1*ORÇAMENTO!$W1,15-13*ORÇAMENTO!$AF$11)</definedName>
    <definedName name="VTOTALBM" hidden="1">IF(BM!$I1=0,0,CHOOSE(MATCH(RegimeExecucao,{"Global","Unitário"},0),ROUND(ROUND(BM!XFB1,15-13*BM!$A$9)/100*BM!$I1,15-13*ORÇAMENTO!$AF$11),ROUND(ROUND(BM!XFB1,15-13*BM!$A$9)*ROUND(BM!$H1,15-13*ORÇAMENTO!$AF$10),15-13*ORÇAMENTO!$AF$11)))</definedName>
    <definedName name="VTOTALMED" hidden="1">BM!$P$14</definedName>
  </definedNames>
  <calcPr calcId="124519"/>
</workbook>
</file>

<file path=xl/calcChain.xml><?xml version="1.0" encoding="utf-8"?>
<calcChain xmlns="http://schemas.openxmlformats.org/spreadsheetml/2006/main">
  <c r="A25" i="5"/>
  <c r="A24"/>
  <c r="A23"/>
  <c r="A42" l="1"/>
  <c r="A41"/>
  <c r="A22"/>
  <c r="A21"/>
  <c r="A20"/>
  <c r="A19"/>
  <c r="A40" l="1"/>
  <c r="A34" l="1"/>
  <c r="A30"/>
  <c r="A33"/>
  <c r="H23" i="13" l="1"/>
  <c r="G23"/>
  <c r="H22"/>
  <c r="G22"/>
  <c r="E22"/>
  <c r="H21"/>
  <c r="G21"/>
  <c r="H20"/>
  <c r="G20"/>
  <c r="H19"/>
  <c r="G19"/>
  <c r="H18"/>
  <c r="G18"/>
  <c r="H17"/>
  <c r="G17"/>
  <c r="H16"/>
  <c r="G16"/>
  <c r="H15"/>
  <c r="G15"/>
  <c r="H14"/>
  <c r="G14"/>
  <c r="J23" i="11"/>
  <c r="I23" i="13" s="1"/>
  <c r="D23" i="11"/>
  <c r="E23" i="13" s="1"/>
  <c r="J22" i="11"/>
  <c r="I22" i="13" s="1"/>
  <c r="D22" i="11"/>
  <c r="A22"/>
  <c r="J21"/>
  <c r="I21" i="13" s="1"/>
  <c r="D21" i="11"/>
  <c r="A21" s="1"/>
  <c r="J20"/>
  <c r="I20" i="13" s="1"/>
  <c r="D20" i="11"/>
  <c r="E20" i="13" s="1"/>
  <c r="A20" i="11"/>
  <c r="J19"/>
  <c r="I19" i="13" s="1"/>
  <c r="D19" i="11"/>
  <c r="E19" i="13" s="1"/>
  <c r="A19" i="11"/>
  <c r="J18"/>
  <c r="I18" i="13" s="1"/>
  <c r="D18" i="11"/>
  <c r="E18" i="13" s="1"/>
  <c r="A18" i="11"/>
  <c r="J17"/>
  <c r="I17" i="13" s="1"/>
  <c r="D17" i="11"/>
  <c r="E17" i="13" s="1"/>
  <c r="J16" i="11"/>
  <c r="I16" i="13" s="1"/>
  <c r="D16" i="11"/>
  <c r="A16" s="1"/>
  <c r="J15"/>
  <c r="I15" i="13" s="1"/>
  <c r="D15" i="11"/>
  <c r="A15" s="1"/>
  <c r="J14"/>
  <c r="I14" i="13" s="1"/>
  <c r="D14" i="11"/>
  <c r="E14" i="13" s="1"/>
  <c r="A14" i="8"/>
  <c r="B16" i="10"/>
  <c r="B17" s="1"/>
  <c r="B18" s="1"/>
  <c r="B16" i="9"/>
  <c r="B17" s="1"/>
  <c r="B18" s="1"/>
  <c r="B19" s="1"/>
  <c r="B20" s="1"/>
  <c r="C16" i="7"/>
  <c r="B16" s="1"/>
  <c r="A39" i="5"/>
  <c r="A38"/>
  <c r="A37"/>
  <c r="A36"/>
  <c r="A35"/>
  <c r="A32"/>
  <c r="A31"/>
  <c r="A29"/>
  <c r="A28"/>
  <c r="A27"/>
  <c r="A26"/>
  <c r="A18"/>
  <c r="A17"/>
  <c r="C16"/>
  <c r="R16" s="1"/>
  <c r="A16"/>
  <c r="P7" i="13"/>
  <c r="E28" i="14" s="1"/>
  <c r="C15"/>
  <c r="L4" i="13"/>
  <c r="I5" i="12"/>
  <c r="F4" i="11"/>
  <c r="D7" i="10"/>
  <c r="J8" i="8"/>
  <c r="L5" i="4"/>
  <c r="C14" i="15"/>
  <c r="C52" i="3"/>
  <c r="G5" i="6" a="1"/>
  <c r="G5" s="1"/>
  <c r="Q5" i="5" a="1"/>
  <c r="Q5" s="1"/>
  <c r="F9"/>
  <c r="F8"/>
  <c r="F25" i="2"/>
  <c r="P85" i="4" s="1"/>
  <c r="C51" i="3"/>
  <c r="C47"/>
  <c r="C43"/>
  <c r="C41"/>
  <c r="C39"/>
  <c r="S108" i="4"/>
  <c r="S68"/>
  <c r="S28"/>
  <c r="E2" i="15"/>
  <c r="C34" i="3"/>
  <c r="C32"/>
  <c r="Q13" i="6"/>
  <c r="R13" s="1"/>
  <c r="S13" s="1"/>
  <c r="T13" s="1"/>
  <c r="U13" s="1"/>
  <c r="V13" s="1"/>
  <c r="W13" s="1"/>
  <c r="X13" s="1"/>
  <c r="Y13" s="1"/>
  <c r="Z13" s="1"/>
  <c r="A12"/>
  <c r="AX13"/>
  <c r="AY13" s="1"/>
  <c r="AZ13" s="1"/>
  <c r="AB13"/>
  <c r="AB12" s="1"/>
  <c r="AM13"/>
  <c r="AM12" s="1"/>
  <c r="H12" i="10"/>
  <c r="H11" s="1"/>
  <c r="S27" i="4"/>
  <c r="S29" s="1"/>
  <c r="BG15" i="6"/>
  <c r="BF15"/>
  <c r="BE15"/>
  <c r="BD15"/>
  <c r="BC15"/>
  <c r="BB15"/>
  <c r="BA15"/>
  <c r="AZ15"/>
  <c r="AY15"/>
  <c r="AX15"/>
  <c r="I69" i="10"/>
  <c r="K69" s="1"/>
  <c r="M69" s="1"/>
  <c r="O69" s="1"/>
  <c r="Q69" s="1"/>
  <c r="S69" s="1"/>
  <c r="U69" s="1"/>
  <c r="W69" s="1"/>
  <c r="Y69" s="1"/>
  <c r="AA69" s="1"/>
  <c r="AC69" s="1"/>
  <c r="AE69" s="1"/>
  <c r="G12" i="9"/>
  <c r="G11" s="1"/>
  <c r="C20" i="3"/>
  <c r="C22"/>
  <c r="C24"/>
  <c r="C26"/>
  <c r="C28"/>
  <c r="C19"/>
  <c r="C15"/>
  <c r="C14"/>
  <c r="C12"/>
  <c r="I36" i="11"/>
  <c r="I35"/>
  <c r="Z31" i="8" a="1"/>
  <c r="T49" i="6" a="1"/>
  <c r="T51" s="1"/>
  <c r="I49" a="1"/>
  <c r="I50" s="1"/>
  <c r="AB13" i="12"/>
  <c r="AC13" s="1"/>
  <c r="AD13" s="1"/>
  <c r="AE13" s="1"/>
  <c r="AF13" s="1"/>
  <c r="AG13" s="1"/>
  <c r="AH13" s="1"/>
  <c r="AI13" s="1"/>
  <c r="AJ13" s="1"/>
  <c r="AK13" s="1"/>
  <c r="AL13" s="1"/>
  <c r="AM13" s="1"/>
  <c r="C2" i="4"/>
  <c r="Z7" i="11"/>
  <c r="U12" i="8"/>
  <c r="V12" s="1"/>
  <c r="W12" s="1"/>
  <c r="X12" s="1"/>
  <c r="Y12" s="1"/>
  <c r="Z12" s="1"/>
  <c r="AA12" s="1"/>
  <c r="AB12" s="1"/>
  <c r="AC12" s="1"/>
  <c r="AD12" s="1"/>
  <c r="AE12" s="1"/>
  <c r="D12"/>
  <c r="C11" i="10"/>
  <c r="A14" i="5"/>
  <c r="C14" s="1"/>
  <c r="B14" i="6" s="1"/>
  <c r="AV15"/>
  <c r="AU15"/>
  <c r="AT15"/>
  <c r="AS15"/>
  <c r="AR15"/>
  <c r="AQ15"/>
  <c r="AP15"/>
  <c r="AO15"/>
  <c r="AN15"/>
  <c r="AM15"/>
  <c r="D12" i="11"/>
  <c r="A12" s="1"/>
  <c r="L39" i="13"/>
  <c r="F48" i="2"/>
  <c r="S107" i="4"/>
  <c r="S109" s="1"/>
  <c r="I95" s="1"/>
  <c r="S67"/>
  <c r="S69" s="1"/>
  <c r="I92" s="1"/>
  <c r="C8"/>
  <c r="C9"/>
  <c r="C10"/>
  <c r="C11"/>
  <c r="C12"/>
  <c r="C13"/>
  <c r="L46" i="13"/>
  <c r="A1" i="8"/>
  <c r="C10" i="15"/>
  <c r="G22"/>
  <c r="C22"/>
  <c r="E24"/>
  <c r="E22"/>
  <c r="G18"/>
  <c r="E18"/>
  <c r="C18"/>
  <c r="C12"/>
  <c r="E12"/>
  <c r="G10"/>
  <c r="E10"/>
  <c r="B20"/>
  <c r="B16"/>
  <c r="B8"/>
  <c r="Q8" i="5"/>
  <c r="O1" i="4"/>
  <c r="A3"/>
  <c r="C3" s="1"/>
  <c r="J5"/>
  <c r="N5"/>
  <c r="J8"/>
  <c r="C14"/>
  <c r="A15"/>
  <c r="C15" s="1"/>
  <c r="A16"/>
  <c r="C20"/>
  <c r="A21"/>
  <c r="A22" s="1"/>
  <c r="A23" s="1"/>
  <c r="A24" s="1"/>
  <c r="A25" s="1"/>
  <c r="C25" s="1"/>
  <c r="J21"/>
  <c r="R21"/>
  <c r="J22"/>
  <c r="R22"/>
  <c r="J23"/>
  <c r="R23"/>
  <c r="J24"/>
  <c r="R24"/>
  <c r="J25"/>
  <c r="R25"/>
  <c r="C26"/>
  <c r="A27"/>
  <c r="C32"/>
  <c r="A33"/>
  <c r="A34" s="1"/>
  <c r="A35" s="1"/>
  <c r="N35"/>
  <c r="C38"/>
  <c r="C39"/>
  <c r="C40"/>
  <c r="C41"/>
  <c r="C42"/>
  <c r="C43"/>
  <c r="C44"/>
  <c r="J38"/>
  <c r="A45"/>
  <c r="J40"/>
  <c r="J45"/>
  <c r="K50" a="1"/>
  <c r="K52" s="1"/>
  <c r="J61"/>
  <c r="R61"/>
  <c r="J62"/>
  <c r="R62"/>
  <c r="J63"/>
  <c r="R63"/>
  <c r="J64"/>
  <c r="R64"/>
  <c r="J65"/>
  <c r="R65"/>
  <c r="N75"/>
  <c r="J78"/>
  <c r="J80"/>
  <c r="J85"/>
  <c r="K90" a="1"/>
  <c r="K92" s="1"/>
  <c r="J101"/>
  <c r="R101"/>
  <c r="J102"/>
  <c r="R102"/>
  <c r="J103"/>
  <c r="R103"/>
  <c r="J104"/>
  <c r="R104"/>
  <c r="J105"/>
  <c r="R105"/>
  <c r="N115"/>
  <c r="J118"/>
  <c r="J120"/>
  <c r="J125"/>
  <c r="K130" a="1"/>
  <c r="K131" s="1"/>
  <c r="E2" i="12"/>
  <c r="E1"/>
  <c r="D5"/>
  <c r="F5"/>
  <c r="J5"/>
  <c r="O5"/>
  <c r="A7"/>
  <c r="I7"/>
  <c r="D8"/>
  <c r="E8"/>
  <c r="F8"/>
  <c r="I8"/>
  <c r="E10"/>
  <c r="J12"/>
  <c r="Q12"/>
  <c r="V13"/>
  <c r="W13"/>
  <c r="X13"/>
  <c r="D15"/>
  <c r="AB15"/>
  <c r="D52"/>
  <c r="E53"/>
  <c r="K55" a="1"/>
  <c r="K57" s="1"/>
  <c r="F1" i="6"/>
  <c r="F2"/>
  <c r="E5"/>
  <c r="I5"/>
  <c r="K5"/>
  <c r="S5"/>
  <c r="U5"/>
  <c r="O13"/>
  <c r="O15" s="1"/>
  <c r="B15"/>
  <c r="C15"/>
  <c r="D15"/>
  <c r="E15"/>
  <c r="B43"/>
  <c r="C43"/>
  <c r="F47"/>
  <c r="R4" i="8"/>
  <c r="R5"/>
  <c r="Y7"/>
  <c r="AE7"/>
  <c r="H8"/>
  <c r="K8"/>
  <c r="T8"/>
  <c r="Y8"/>
  <c r="AE8"/>
  <c r="D13"/>
  <c r="U13"/>
  <c r="V13" s="1"/>
  <c r="W13" s="1"/>
  <c r="X13" s="1"/>
  <c r="Y13" s="1"/>
  <c r="Z13" s="1"/>
  <c r="AA13" s="1"/>
  <c r="AB13" s="1"/>
  <c r="AC13" s="1"/>
  <c r="AD13" s="1"/>
  <c r="AE13" s="1"/>
  <c r="S19"/>
  <c r="S24"/>
  <c r="H29"/>
  <c r="B1" i="9"/>
  <c r="E12"/>
  <c r="E11" s="1"/>
  <c r="L2" i="2"/>
  <c r="N2"/>
  <c r="P2"/>
  <c r="R2"/>
  <c r="T2"/>
  <c r="V2"/>
  <c r="X2"/>
  <c r="Z2"/>
  <c r="AB2"/>
  <c r="AD2"/>
  <c r="AF2"/>
  <c r="AH2"/>
  <c r="AJ2"/>
  <c r="AL2"/>
  <c r="AN2"/>
  <c r="AP2"/>
  <c r="AR2"/>
  <c r="E9"/>
  <c r="C9" i="7"/>
  <c r="C14"/>
  <c r="B14" s="1"/>
  <c r="B15"/>
  <c r="C8" i="3"/>
  <c r="C9"/>
  <c r="C18" i="14"/>
  <c r="C19"/>
  <c r="B22"/>
  <c r="B24"/>
  <c r="B30"/>
  <c r="B54"/>
  <c r="B55"/>
  <c r="R2" i="5"/>
  <c r="O5"/>
  <c r="R5"/>
  <c r="S5"/>
  <c r="O53"/>
  <c r="R7"/>
  <c r="S7"/>
  <c r="V7"/>
  <c r="W7"/>
  <c r="X7"/>
  <c r="R8"/>
  <c r="S8"/>
  <c r="U13"/>
  <c r="V13"/>
  <c r="AH13"/>
  <c r="M15"/>
  <c r="N15"/>
  <c r="O15"/>
  <c r="O56"/>
  <c r="T58" a="1"/>
  <c r="T58" s="1"/>
  <c r="B1" i="10"/>
  <c r="H4"/>
  <c r="V6"/>
  <c r="AE6"/>
  <c r="B7"/>
  <c r="H7"/>
  <c r="O7"/>
  <c r="V7"/>
  <c r="AE7"/>
  <c r="F12"/>
  <c r="F11" s="1"/>
  <c r="B75"/>
  <c r="W77" a="1"/>
  <c r="W78" s="1"/>
  <c r="D4" i="11"/>
  <c r="G4"/>
  <c r="J4"/>
  <c r="M6"/>
  <c r="D7"/>
  <c r="L7"/>
  <c r="M7"/>
  <c r="N7"/>
  <c r="J12"/>
  <c r="I12" i="13" s="1"/>
  <c r="L13" i="11"/>
  <c r="L9" s="1"/>
  <c r="D33"/>
  <c r="F1" i="13"/>
  <c r="E4"/>
  <c r="I4"/>
  <c r="P4"/>
  <c r="M6"/>
  <c r="E7"/>
  <c r="I7"/>
  <c r="M7"/>
  <c r="N7"/>
  <c r="M11"/>
  <c r="Y11"/>
  <c r="G12"/>
  <c r="H12"/>
  <c r="J25"/>
  <c r="AC2" s="1"/>
  <c r="E35"/>
  <c r="E39"/>
  <c r="F40"/>
  <c r="M40"/>
  <c r="E41"/>
  <c r="F41"/>
  <c r="L41"/>
  <c r="M41"/>
  <c r="M42"/>
  <c r="L43"/>
  <c r="M43"/>
  <c r="E46"/>
  <c r="E48"/>
  <c r="L48"/>
  <c r="E49"/>
  <c r="L49"/>
  <c r="D50" i="12"/>
  <c r="I15"/>
  <c r="O15"/>
  <c r="M15"/>
  <c r="J15" s="1"/>
  <c r="K130" i="4"/>
  <c r="C33"/>
  <c r="W80" i="10"/>
  <c r="C45" i="4"/>
  <c r="A46"/>
  <c r="A47" s="1"/>
  <c r="A48" s="1"/>
  <c r="A28"/>
  <c r="A29" s="1"/>
  <c r="C29" s="1"/>
  <c r="C27"/>
  <c r="C34"/>
  <c r="A17"/>
  <c r="A18" s="1"/>
  <c r="C16"/>
  <c r="E12" i="13"/>
  <c r="C48" i="4"/>
  <c r="A49"/>
  <c r="C49" s="1"/>
  <c r="O8" i="5"/>
  <c r="N9" i="10" l="1"/>
  <c r="O7" i="11"/>
  <c r="F63" i="7"/>
  <c r="N16" i="5"/>
  <c r="D16" i="6" s="1"/>
  <c r="E16" i="12"/>
  <c r="K50" i="4"/>
  <c r="A23" i="11"/>
  <c r="A19" i="4"/>
  <c r="C19" s="1"/>
  <c r="C18"/>
  <c r="C47"/>
  <c r="C23"/>
  <c r="A14" i="11"/>
  <c r="A30" i="4"/>
  <c r="C46"/>
  <c r="E16" i="13"/>
  <c r="C28" i="4"/>
  <c r="K58" i="12"/>
  <c r="C21" i="4"/>
  <c r="C22"/>
  <c r="C17"/>
  <c r="K132"/>
  <c r="E15" i="13"/>
  <c r="A17" i="11"/>
  <c r="E21" i="13"/>
  <c r="B39" i="14"/>
  <c r="F23" i="7"/>
  <c r="F17"/>
  <c r="F16"/>
  <c r="F18"/>
  <c r="F30"/>
  <c r="F36"/>
  <c r="F38"/>
  <c r="B16" i="5"/>
  <c r="F43" i="7"/>
  <c r="F49"/>
  <c r="F50"/>
  <c r="F29"/>
  <c r="F56"/>
  <c r="F58"/>
  <c r="B19" i="10"/>
  <c r="B21" i="9"/>
  <c r="C17" i="7"/>
  <c r="F37"/>
  <c r="F57"/>
  <c r="F24"/>
  <c r="F44"/>
  <c r="F64"/>
  <c r="F31"/>
  <c r="F51"/>
  <c r="F45"/>
  <c r="F19"/>
  <c r="F39"/>
  <c r="F59"/>
  <c r="F25"/>
  <c r="F26"/>
  <c r="F46"/>
  <c r="F32"/>
  <c r="F52"/>
  <c r="F33"/>
  <c r="F53"/>
  <c r="F40"/>
  <c r="F27"/>
  <c r="F47"/>
  <c r="F20"/>
  <c r="F34"/>
  <c r="F54"/>
  <c r="F60"/>
  <c r="F21"/>
  <c r="F41"/>
  <c r="F61"/>
  <c r="F28"/>
  <c r="F48"/>
  <c r="F35"/>
  <c r="F55"/>
  <c r="F22"/>
  <c r="F42"/>
  <c r="F62"/>
  <c r="W79" i="10"/>
  <c r="I16" i="5"/>
  <c r="W16"/>
  <c r="H16" i="12" s="1"/>
  <c r="AE16" i="5"/>
  <c r="F16"/>
  <c r="G16"/>
  <c r="H16"/>
  <c r="K55" i="12"/>
  <c r="A16"/>
  <c r="B16" i="6"/>
  <c r="A16" s="1"/>
  <c r="T60" i="5"/>
  <c r="B37" i="14"/>
  <c r="C14"/>
  <c r="O7" i="13"/>
  <c r="T50" i="6"/>
  <c r="P125" i="4"/>
  <c r="H32" i="8"/>
  <c r="I51" i="6"/>
  <c r="I49"/>
  <c r="AX12"/>
  <c r="AC13"/>
  <c r="AN13"/>
  <c r="B14" i="5"/>
  <c r="F14"/>
  <c r="I80" i="4"/>
  <c r="G15" i="9"/>
  <c r="M15" i="6"/>
  <c r="L35" i="13"/>
  <c r="F14" i="7"/>
  <c r="F15"/>
  <c r="A15" i="10" s="1"/>
  <c r="H15"/>
  <c r="N15" i="12"/>
  <c r="I86" i="4"/>
  <c r="I88"/>
  <c r="I83"/>
  <c r="S110"/>
  <c r="H5" i="5" s="1"/>
  <c r="X8" s="1"/>
  <c r="I55" i="4"/>
  <c r="I69"/>
  <c r="I12" i="10"/>
  <c r="H12" i="9"/>
  <c r="I12" s="1"/>
  <c r="I70" i="4"/>
  <c r="I63"/>
  <c r="I82"/>
  <c r="I56"/>
  <c r="I58"/>
  <c r="I67"/>
  <c r="L15" i="12"/>
  <c r="K15" s="1"/>
  <c r="I72" i="4"/>
  <c r="I60"/>
  <c r="I78"/>
  <c r="I71"/>
  <c r="I66"/>
  <c r="I116"/>
  <c r="I79"/>
  <c r="I130"/>
  <c r="I76"/>
  <c r="I122"/>
  <c r="N10" i="12"/>
  <c r="I104" i="4"/>
  <c r="I119"/>
  <c r="S30"/>
  <c r="F5" i="5" s="1"/>
  <c r="A36" i="4"/>
  <c r="C35"/>
  <c r="C30"/>
  <c r="A31"/>
  <c r="C31" s="1"/>
  <c r="AZ12" i="6"/>
  <c r="BA13"/>
  <c r="I112" i="4"/>
  <c r="I117"/>
  <c r="I126"/>
  <c r="I121"/>
  <c r="I96"/>
  <c r="I109"/>
  <c r="I105"/>
  <c r="I115"/>
  <c r="I98"/>
  <c r="I125"/>
  <c r="I113"/>
  <c r="I111"/>
  <c r="I101"/>
  <c r="I132"/>
  <c r="I108"/>
  <c r="I103"/>
  <c r="I129"/>
  <c r="I100"/>
  <c r="I127"/>
  <c r="I124"/>
  <c r="I107"/>
  <c r="I106"/>
  <c r="I94"/>
  <c r="I118"/>
  <c r="I131"/>
  <c r="I128"/>
  <c r="I114"/>
  <c r="I102"/>
  <c r="I120"/>
  <c r="I97"/>
  <c r="I123"/>
  <c r="C24"/>
  <c r="I110"/>
  <c r="I99"/>
  <c r="Z32" i="8"/>
  <c r="Z33"/>
  <c r="Z31"/>
  <c r="P45" i="4"/>
  <c r="K14" i="5"/>
  <c r="J14"/>
  <c r="H14"/>
  <c r="A14" i="12"/>
  <c r="D14" i="5"/>
  <c r="B14" i="12" s="1"/>
  <c r="AD14" i="5"/>
  <c r="E14"/>
  <c r="G14"/>
  <c r="AE14"/>
  <c r="N14"/>
  <c r="I62" i="4"/>
  <c r="I74"/>
  <c r="I68"/>
  <c r="I61"/>
  <c r="I64"/>
  <c r="I87"/>
  <c r="I89"/>
  <c r="I57"/>
  <c r="I73"/>
  <c r="I93"/>
  <c r="I85"/>
  <c r="I84"/>
  <c r="I77"/>
  <c r="I65"/>
  <c r="I54"/>
  <c r="I59"/>
  <c r="I90"/>
  <c r="I81"/>
  <c r="I75"/>
  <c r="I91"/>
  <c r="E56" i="12"/>
  <c r="B78" i="10"/>
  <c r="F50" i="6"/>
  <c r="O59" i="5"/>
  <c r="D36" i="11"/>
  <c r="M8" i="12"/>
  <c r="AO7"/>
  <c r="AY12" i="6"/>
  <c r="W77" i="10"/>
  <c r="A4" i="4"/>
  <c r="K51"/>
  <c r="K56" i="12"/>
  <c r="S70" i="4"/>
  <c r="G5" i="5" s="1"/>
  <c r="W8" s="1"/>
  <c r="K91" i="4"/>
  <c r="T49" i="6"/>
  <c r="K90" i="4"/>
  <c r="T59" i="5"/>
  <c r="AH25" l="1"/>
  <c r="AH24"/>
  <c r="AH23"/>
  <c r="AN23" s="1"/>
  <c r="AH22"/>
  <c r="AH42"/>
  <c r="AH41"/>
  <c r="AN41" s="1"/>
  <c r="AH19"/>
  <c r="AH21"/>
  <c r="AH20"/>
  <c r="AH34"/>
  <c r="AH40"/>
  <c r="AH33"/>
  <c r="AH30"/>
  <c r="E16"/>
  <c r="F16" i="6"/>
  <c r="B42" i="14"/>
  <c r="B17" i="7"/>
  <c r="C18"/>
  <c r="B22" i="9"/>
  <c r="B20" i="10"/>
  <c r="C17" i="5"/>
  <c r="R17" s="1"/>
  <c r="AD16"/>
  <c r="AN16" i="6"/>
  <c r="AM16"/>
  <c r="BG16"/>
  <c r="BF16"/>
  <c r="BE16"/>
  <c r="BC16"/>
  <c r="BB16"/>
  <c r="BA16"/>
  <c r="AZ16"/>
  <c r="AY16"/>
  <c r="AX16"/>
  <c r="BD16"/>
  <c r="AS16"/>
  <c r="AR16"/>
  <c r="AQ16"/>
  <c r="AP16"/>
  <c r="AO16"/>
  <c r="N16"/>
  <c r="AU16"/>
  <c r="AT16"/>
  <c r="M16"/>
  <c r="AV16"/>
  <c r="H16"/>
  <c r="T16" i="5" s="1"/>
  <c r="G16" i="12" s="1"/>
  <c r="G16" i="6"/>
  <c r="AH26" i="5"/>
  <c r="AN26" s="1"/>
  <c r="AH39"/>
  <c r="AH18"/>
  <c r="AH38"/>
  <c r="AH35"/>
  <c r="AH32"/>
  <c r="AH16"/>
  <c r="AN16" s="1"/>
  <c r="AH17"/>
  <c r="AN17" s="1"/>
  <c r="AH36"/>
  <c r="AH28"/>
  <c r="AN28" s="1"/>
  <c r="AH31"/>
  <c r="AH27"/>
  <c r="AH37"/>
  <c r="AN37" s="1"/>
  <c r="AH29"/>
  <c r="AC12" i="6"/>
  <c r="AD13"/>
  <c r="H11" i="9"/>
  <c r="AO13" i="6"/>
  <c r="AN12"/>
  <c r="B8" i="14"/>
  <c r="I10" i="13"/>
  <c r="I11" i="9"/>
  <c r="J12"/>
  <c r="I11" i="10"/>
  <c r="J12"/>
  <c r="AH14" i="5"/>
  <c r="V8"/>
  <c r="D14" i="6"/>
  <c r="BB13"/>
  <c r="C4" i="4"/>
  <c r="A5"/>
  <c r="J14" i="12"/>
  <c r="L14"/>
  <c r="C36" i="4"/>
  <c r="A37"/>
  <c r="C37" s="1"/>
  <c r="A17" i="12" l="1"/>
  <c r="A14" i="13"/>
  <c r="B14" i="11"/>
  <c r="G14" s="1"/>
  <c r="F14" i="13" s="1"/>
  <c r="AD17" i="5"/>
  <c r="AE17"/>
  <c r="N17"/>
  <c r="D17" i="6" s="1"/>
  <c r="H17" i="5"/>
  <c r="C19" i="7"/>
  <c r="B18"/>
  <c r="F17" i="5"/>
  <c r="B17"/>
  <c r="B17" i="6"/>
  <c r="G17" i="5"/>
  <c r="B21" i="10"/>
  <c r="C18" i="5"/>
  <c r="C19" s="1"/>
  <c r="C20" s="1"/>
  <c r="B23" i="9"/>
  <c r="W17" i="5"/>
  <c r="H17" i="12" s="1"/>
  <c r="AC16" i="6"/>
  <c r="E17" i="5"/>
  <c r="AB16" i="6"/>
  <c r="AE13"/>
  <c r="AF13" s="1"/>
  <c r="AD12"/>
  <c r="AD16" s="1"/>
  <c r="AO12"/>
  <c r="AP13"/>
  <c r="K12" i="10"/>
  <c r="J11"/>
  <c r="K12" i="9"/>
  <c r="W14" i="5"/>
  <c r="H14" i="12" s="1"/>
  <c r="AN14" i="5"/>
  <c r="BC13" i="6"/>
  <c r="BB12"/>
  <c r="A14"/>
  <c r="N14" s="1"/>
  <c r="K14" i="12"/>
  <c r="C5" i="4"/>
  <c r="A6"/>
  <c r="AC3" i="6"/>
  <c r="B20" l="1"/>
  <c r="A20" i="12"/>
  <c r="C21" i="5"/>
  <c r="C22" s="1"/>
  <c r="J20"/>
  <c r="K20"/>
  <c r="AD20"/>
  <c r="D20"/>
  <c r="B20" i="12" s="1"/>
  <c r="AE20" i="5"/>
  <c r="N20"/>
  <c r="A19" i="12"/>
  <c r="B19" i="6"/>
  <c r="D19" i="5"/>
  <c r="B19" i="12" s="1"/>
  <c r="J19" i="5"/>
  <c r="K19"/>
  <c r="AD19"/>
  <c r="N19"/>
  <c r="AE19"/>
  <c r="C14" i="13"/>
  <c r="K14" s="1"/>
  <c r="K14" i="11"/>
  <c r="J14" i="13" s="1"/>
  <c r="F18" i="5"/>
  <c r="F19" s="1"/>
  <c r="F20" s="1"/>
  <c r="D18"/>
  <c r="B18" i="12" s="1"/>
  <c r="J18" i="5"/>
  <c r="A18" i="12"/>
  <c r="L18" s="1"/>
  <c r="E18" i="5"/>
  <c r="E19" s="1"/>
  <c r="E20" s="1"/>
  <c r="AD18"/>
  <c r="B18" i="6"/>
  <c r="A17"/>
  <c r="N17" s="1"/>
  <c r="G18" i="5"/>
  <c r="G19" s="1"/>
  <c r="G20" s="1"/>
  <c r="H18"/>
  <c r="H19" s="1"/>
  <c r="H20" s="1"/>
  <c r="K18"/>
  <c r="AE18"/>
  <c r="B18"/>
  <c r="B19" s="1"/>
  <c r="B20" s="1"/>
  <c r="B22" i="10"/>
  <c r="B24" i="9"/>
  <c r="N18" i="5"/>
  <c r="D18" i="6" s="1"/>
  <c r="C20" i="7"/>
  <c r="B19"/>
  <c r="H17" i="6"/>
  <c r="T17" i="5" s="1"/>
  <c r="AD3" i="6"/>
  <c r="AB3"/>
  <c r="AQ13"/>
  <c r="L12" i="9"/>
  <c r="K11"/>
  <c r="M14" i="6"/>
  <c r="AX14" s="1"/>
  <c r="L12" i="10"/>
  <c r="AF12" i="6"/>
  <c r="AG13"/>
  <c r="A7" i="4"/>
  <c r="C7" s="1"/>
  <c r="C6"/>
  <c r="BC12" i="6"/>
  <c r="BD13"/>
  <c r="A22" i="12" l="1"/>
  <c r="B22" i="6"/>
  <c r="D22" i="5"/>
  <c r="B22" i="12" s="1"/>
  <c r="K22" i="5"/>
  <c r="AD22"/>
  <c r="AE22"/>
  <c r="N22"/>
  <c r="J22"/>
  <c r="J20" i="12"/>
  <c r="L20"/>
  <c r="B21" i="6"/>
  <c r="A21" i="12"/>
  <c r="B21" i="5"/>
  <c r="D21"/>
  <c r="B21" i="12" s="1"/>
  <c r="E21" i="5"/>
  <c r="E22" s="1"/>
  <c r="F21"/>
  <c r="F22" s="1"/>
  <c r="G21"/>
  <c r="G22" s="1"/>
  <c r="H21"/>
  <c r="H22" s="1"/>
  <c r="K21"/>
  <c r="AD21"/>
  <c r="AE21"/>
  <c r="J21"/>
  <c r="N21"/>
  <c r="D20" i="6"/>
  <c r="L19" i="12"/>
  <c r="J19"/>
  <c r="D19" i="6"/>
  <c r="F17"/>
  <c r="E17" i="12"/>
  <c r="G17" i="6"/>
  <c r="J18" i="12"/>
  <c r="K18" s="1"/>
  <c r="M17" i="6"/>
  <c r="BC17" s="1"/>
  <c r="C21" i="7"/>
  <c r="B20"/>
  <c r="B25" i="9"/>
  <c r="B23" i="10"/>
  <c r="AF16" i="6"/>
  <c r="H18"/>
  <c r="T18" i="5" s="1"/>
  <c r="A18" i="6"/>
  <c r="G17" i="12"/>
  <c r="AO14" i="6"/>
  <c r="BD14"/>
  <c r="AQ12"/>
  <c r="AR13"/>
  <c r="AR14" s="1"/>
  <c r="BE14"/>
  <c r="AZ14"/>
  <c r="BC14"/>
  <c r="BA14"/>
  <c r="AP14"/>
  <c r="AQ14"/>
  <c r="AN14"/>
  <c r="AM14"/>
  <c r="AY14"/>
  <c r="BF14"/>
  <c r="BG14"/>
  <c r="L11" i="9"/>
  <c r="M12"/>
  <c r="BB14" i="6"/>
  <c r="L11" i="10"/>
  <c r="M12"/>
  <c r="AH13" i="6"/>
  <c r="AG12"/>
  <c r="BD12"/>
  <c r="BE13"/>
  <c r="Z69" i="4"/>
  <c r="Y29"/>
  <c r="Z21"/>
  <c r="Y64"/>
  <c r="X21"/>
  <c r="Y24"/>
  <c r="X103"/>
  <c r="Y102"/>
  <c r="Y101"/>
  <c r="Y21"/>
  <c r="X105"/>
  <c r="Y103"/>
  <c r="Z62"/>
  <c r="X29"/>
  <c r="X109"/>
  <c r="X101"/>
  <c r="Z23"/>
  <c r="Y62"/>
  <c r="X62"/>
  <c r="Z109"/>
  <c r="Z103"/>
  <c r="Z102"/>
  <c r="Z24"/>
  <c r="X61"/>
  <c r="Z63"/>
  <c r="X23"/>
  <c r="X65"/>
  <c r="Z105"/>
  <c r="Y104"/>
  <c r="Z61"/>
  <c r="Z29"/>
  <c r="Y65"/>
  <c r="Y109"/>
  <c r="Z104"/>
  <c r="Y69"/>
  <c r="X25"/>
  <c r="Z25"/>
  <c r="X22"/>
  <c r="X63"/>
  <c r="Y25"/>
  <c r="Y22"/>
  <c r="Z65"/>
  <c r="X69"/>
  <c r="U69" s="1"/>
  <c r="Y61"/>
  <c r="X102"/>
  <c r="X104"/>
  <c r="X64"/>
  <c r="Y105"/>
  <c r="Y63"/>
  <c r="Z22"/>
  <c r="Z101"/>
  <c r="Z64"/>
  <c r="X24"/>
  <c r="Y23"/>
  <c r="L22" i="12" l="1"/>
  <c r="J22"/>
  <c r="D22" i="6"/>
  <c r="B22" i="5"/>
  <c r="K20" i="12"/>
  <c r="D21" i="6"/>
  <c r="A19"/>
  <c r="A20" s="1"/>
  <c r="H20"/>
  <c r="T20" i="5" s="1"/>
  <c r="L21" i="12"/>
  <c r="J21"/>
  <c r="K19"/>
  <c r="H19" i="6"/>
  <c r="T19" i="5" s="1"/>
  <c r="AN17" i="6"/>
  <c r="AP17"/>
  <c r="AC17"/>
  <c r="BE17"/>
  <c r="AZ17"/>
  <c r="AB17"/>
  <c r="AY17"/>
  <c r="BA17"/>
  <c r="AF17"/>
  <c r="AO17"/>
  <c r="AX17"/>
  <c r="M18"/>
  <c r="AG18" s="1"/>
  <c r="AQ17"/>
  <c r="BD17"/>
  <c r="AD17"/>
  <c r="AM17"/>
  <c r="BB17"/>
  <c r="AR17"/>
  <c r="B24" i="10"/>
  <c r="B26" i="9"/>
  <c r="C22" i="7"/>
  <c r="B21"/>
  <c r="N18" i="6"/>
  <c r="AG16"/>
  <c r="AG17"/>
  <c r="G18" i="12"/>
  <c r="U109" i="4"/>
  <c r="K112" s="1"/>
  <c r="AS13" i="6"/>
  <c r="AS17" s="1"/>
  <c r="AR12"/>
  <c r="M11" i="10"/>
  <c r="N12"/>
  <c r="M11" i="9"/>
  <c r="N12"/>
  <c r="AH12" i="6"/>
  <c r="AI13"/>
  <c r="U29" i="4"/>
  <c r="J72"/>
  <c r="K72"/>
  <c r="BF13" i="6"/>
  <c r="BF17" s="1"/>
  <c r="BE12"/>
  <c r="C23" i="5" l="1"/>
  <c r="K22" i="12"/>
  <c r="H22" i="6"/>
  <c r="T22" i="5" s="1"/>
  <c r="N19" i="6"/>
  <c r="M20"/>
  <c r="AR20" s="1"/>
  <c r="N20"/>
  <c r="A21"/>
  <c r="A22" s="1"/>
  <c r="G20" i="12"/>
  <c r="H21" i="6"/>
  <c r="T21" i="5" s="1"/>
  <c r="K21" i="12"/>
  <c r="G19"/>
  <c r="M19" i="6"/>
  <c r="AF19" s="1"/>
  <c r="AQ18"/>
  <c r="BB18"/>
  <c r="AZ18"/>
  <c r="AX18"/>
  <c r="AC18"/>
  <c r="AY18"/>
  <c r="BA18"/>
  <c r="AF18"/>
  <c r="AB18"/>
  <c r="AD18"/>
  <c r="BE18"/>
  <c r="BD18"/>
  <c r="AP18"/>
  <c r="AM18"/>
  <c r="AO18"/>
  <c r="AR18"/>
  <c r="AN18"/>
  <c r="BC18"/>
  <c r="B27" i="9"/>
  <c r="B22" i="7"/>
  <c r="C23"/>
  <c r="AS18" i="6"/>
  <c r="B25" i="10"/>
  <c r="BF18" i="6"/>
  <c r="AH16"/>
  <c r="AH17"/>
  <c r="AH18"/>
  <c r="J112" i="4"/>
  <c r="AS14" i="6"/>
  <c r="AT13"/>
  <c r="AS12"/>
  <c r="O12" i="9"/>
  <c r="N11"/>
  <c r="O12" i="10"/>
  <c r="N11"/>
  <c r="AI12" i="6"/>
  <c r="AJ13"/>
  <c r="K32" i="4"/>
  <c r="J32"/>
  <c r="BG13" i="6"/>
  <c r="BF12"/>
  <c r="B23" i="5" l="1"/>
  <c r="R23"/>
  <c r="H23"/>
  <c r="C24"/>
  <c r="AE23"/>
  <c r="B23" i="6"/>
  <c r="A23" s="1"/>
  <c r="A23" i="12"/>
  <c r="N23" i="5"/>
  <c r="D23" i="6" s="1"/>
  <c r="AD23" i="5"/>
  <c r="W23"/>
  <c r="H23" i="12" s="1"/>
  <c r="G23" i="5"/>
  <c r="F23"/>
  <c r="E23"/>
  <c r="M22" i="6"/>
  <c r="AQ22" s="1"/>
  <c r="N22"/>
  <c r="G22" i="12"/>
  <c r="N21" i="6"/>
  <c r="AY20"/>
  <c r="AH20"/>
  <c r="BD20"/>
  <c r="AP20"/>
  <c r="AT20"/>
  <c r="AN20"/>
  <c r="BA20"/>
  <c r="AM20"/>
  <c r="AZ20"/>
  <c r="BE20"/>
  <c r="AS20"/>
  <c r="AB20"/>
  <c r="AO20"/>
  <c r="AI20"/>
  <c r="AF20"/>
  <c r="AX20"/>
  <c r="AC20"/>
  <c r="BB20"/>
  <c r="AG20"/>
  <c r="BC20"/>
  <c r="AQ20"/>
  <c r="AD20"/>
  <c r="BF20"/>
  <c r="M21"/>
  <c r="AF21" s="1"/>
  <c r="AD19"/>
  <c r="AC19"/>
  <c r="BG20"/>
  <c r="G21" i="12"/>
  <c r="AH19" i="6"/>
  <c r="AQ19"/>
  <c r="AY19"/>
  <c r="AN19"/>
  <c r="BD19"/>
  <c r="AP19"/>
  <c r="BA19"/>
  <c r="AT19"/>
  <c r="BC19"/>
  <c r="AX19"/>
  <c r="AO19"/>
  <c r="BG19"/>
  <c r="BB19"/>
  <c r="AS19"/>
  <c r="AM19"/>
  <c r="BF19"/>
  <c r="AZ19"/>
  <c r="AR19"/>
  <c r="BE19"/>
  <c r="AI19"/>
  <c r="AG19"/>
  <c r="AB19"/>
  <c r="B26" i="10"/>
  <c r="B23" i="7"/>
  <c r="C24"/>
  <c r="B28" i="9"/>
  <c r="AI16" i="6"/>
  <c r="AI17"/>
  <c r="AI18"/>
  <c r="AT17"/>
  <c r="AT18"/>
  <c r="BG17"/>
  <c r="BG18"/>
  <c r="AT12"/>
  <c r="AU13"/>
  <c r="AT14"/>
  <c r="P12" i="10"/>
  <c r="O11"/>
  <c r="O11" i="9"/>
  <c r="P12"/>
  <c r="AJ12" i="6"/>
  <c r="AK13"/>
  <c r="AK12" s="1"/>
  <c r="BG12"/>
  <c r="AZ22" l="1"/>
  <c r="BC22"/>
  <c r="BG22"/>
  <c r="AN22"/>
  <c r="AU22"/>
  <c r="BE22"/>
  <c r="AP22"/>
  <c r="AI22"/>
  <c r="BA22"/>
  <c r="AG22"/>
  <c r="AX22"/>
  <c r="AC22"/>
  <c r="BD22"/>
  <c r="AH22"/>
  <c r="AO22"/>
  <c r="AD22"/>
  <c r="AM22"/>
  <c r="E23" i="12"/>
  <c r="F23" i="6"/>
  <c r="C25" i="5"/>
  <c r="AE24"/>
  <c r="B24" i="6"/>
  <c r="G24" i="5"/>
  <c r="A24" i="12"/>
  <c r="F24" i="5"/>
  <c r="E24"/>
  <c r="N24"/>
  <c r="D24" i="6" s="1"/>
  <c r="AD24" i="5"/>
  <c r="K24"/>
  <c r="J24"/>
  <c r="H24"/>
  <c r="B24"/>
  <c r="D24"/>
  <c r="B24" i="12" s="1"/>
  <c r="AF22" i="6"/>
  <c r="AY22"/>
  <c r="AT22"/>
  <c r="AB22"/>
  <c r="AS22"/>
  <c r="H23"/>
  <c r="T23" i="5" s="1"/>
  <c r="G23" i="12" s="1"/>
  <c r="G23" i="6"/>
  <c r="AR22"/>
  <c r="BF22"/>
  <c r="BB22"/>
  <c r="M23"/>
  <c r="N23"/>
  <c r="AK22"/>
  <c r="AJ22"/>
  <c r="BE21"/>
  <c r="AY21"/>
  <c r="AN21"/>
  <c r="AU21"/>
  <c r="BC21"/>
  <c r="BB21"/>
  <c r="AR21"/>
  <c r="AB21"/>
  <c r="AI21"/>
  <c r="AC21"/>
  <c r="AZ21"/>
  <c r="BD21"/>
  <c r="AX21"/>
  <c r="BG21"/>
  <c r="AM21"/>
  <c r="AQ21"/>
  <c r="BF21"/>
  <c r="AH21"/>
  <c r="AT21"/>
  <c r="BA21"/>
  <c r="AD21"/>
  <c r="AO21"/>
  <c r="AS21"/>
  <c r="AP21"/>
  <c r="AG21"/>
  <c r="AK19"/>
  <c r="AK20"/>
  <c r="AK21"/>
  <c r="AU19"/>
  <c r="AU20"/>
  <c r="AJ19"/>
  <c r="AJ20"/>
  <c r="AJ21"/>
  <c r="C25" i="7"/>
  <c r="B24"/>
  <c r="B27" i="10"/>
  <c r="B29" i="9"/>
  <c r="AK16" i="6"/>
  <c r="AK17"/>
  <c r="AK18"/>
  <c r="AJ16"/>
  <c r="AJ17"/>
  <c r="AJ18"/>
  <c r="AU17"/>
  <c r="AU18"/>
  <c r="AU12"/>
  <c r="AV13"/>
  <c r="AV22" s="1"/>
  <c r="AU14"/>
  <c r="Q12" i="9"/>
  <c r="P11"/>
  <c r="Q12" i="10"/>
  <c r="P11"/>
  <c r="H24" i="6" l="1"/>
  <c r="T24" i="5" s="1"/>
  <c r="G25"/>
  <c r="D25"/>
  <c r="B25" i="12" s="1"/>
  <c r="N25" i="5"/>
  <c r="D25" i="6" s="1"/>
  <c r="K25" i="5"/>
  <c r="B25"/>
  <c r="C26" s="1"/>
  <c r="B26" s="1"/>
  <c r="AE25"/>
  <c r="B25" i="6"/>
  <c r="AD25" i="5"/>
  <c r="A25" i="12"/>
  <c r="J25" i="5"/>
  <c r="F25"/>
  <c r="E25"/>
  <c r="H25"/>
  <c r="L24" i="12"/>
  <c r="J24"/>
  <c r="AJ23" i="6"/>
  <c r="A24"/>
  <c r="M24" s="1"/>
  <c r="AK23"/>
  <c r="AM23"/>
  <c r="BF23"/>
  <c r="AV23"/>
  <c r="AZ23"/>
  <c r="BE23"/>
  <c r="BD23"/>
  <c r="AG23"/>
  <c r="AY23"/>
  <c r="AQ23"/>
  <c r="BC23"/>
  <c r="AR23"/>
  <c r="AB23"/>
  <c r="AD23"/>
  <c r="AX23"/>
  <c r="AO23"/>
  <c r="AS23"/>
  <c r="BB23"/>
  <c r="AP23"/>
  <c r="AN23"/>
  <c r="AU23"/>
  <c r="AH23"/>
  <c r="BA23"/>
  <c r="BG23"/>
  <c r="AT23"/>
  <c r="AC23"/>
  <c r="AI23"/>
  <c r="AF23"/>
  <c r="AV19"/>
  <c r="AV20"/>
  <c r="AV21"/>
  <c r="B30" i="9"/>
  <c r="B28" i="10"/>
  <c r="C26" i="7"/>
  <c r="B25"/>
  <c r="AV17" i="6"/>
  <c r="AV18"/>
  <c r="AV12"/>
  <c r="AV14"/>
  <c r="Q11" i="10"/>
  <c r="R12"/>
  <c r="R12" i="9"/>
  <c r="Q11"/>
  <c r="C27" i="5" l="1"/>
  <c r="K27" s="1"/>
  <c r="G26"/>
  <c r="AD26"/>
  <c r="R26"/>
  <c r="E26" i="12" s="1"/>
  <c r="H26" i="5"/>
  <c r="AE26"/>
  <c r="N26"/>
  <c r="D26" i="6" s="1"/>
  <c r="AV26" s="1"/>
  <c r="E26" i="5"/>
  <c r="W26"/>
  <c r="H26" i="12" s="1"/>
  <c r="B26" i="6"/>
  <c r="A26" s="1"/>
  <c r="A25"/>
  <c r="N25" s="1"/>
  <c r="K24" i="12"/>
  <c r="J25"/>
  <c r="L25"/>
  <c r="G24"/>
  <c r="H25" i="6"/>
  <c r="T25" i="5" s="1"/>
  <c r="N24" i="6"/>
  <c r="A26" i="12"/>
  <c r="F26" i="5"/>
  <c r="BA24" i="6"/>
  <c r="AD24"/>
  <c r="AX24"/>
  <c r="AC24"/>
  <c r="AI24"/>
  <c r="AZ24"/>
  <c r="BC24"/>
  <c r="AU24"/>
  <c r="AB24"/>
  <c r="AG24"/>
  <c r="AM24"/>
  <c r="AT24"/>
  <c r="AY24"/>
  <c r="BE24"/>
  <c r="BG24"/>
  <c r="AV24"/>
  <c r="BD24"/>
  <c r="AF24"/>
  <c r="AR24"/>
  <c r="AP24"/>
  <c r="AS24"/>
  <c r="AO24"/>
  <c r="BB24"/>
  <c r="BF24"/>
  <c r="AH24"/>
  <c r="AN24"/>
  <c r="AQ24"/>
  <c r="AK24"/>
  <c r="AJ24"/>
  <c r="B29" i="10"/>
  <c r="C27" i="7"/>
  <c r="B26"/>
  <c r="B31" i="9"/>
  <c r="R11"/>
  <c r="S12"/>
  <c r="R11" i="10"/>
  <c r="S12"/>
  <c r="BE26" i="6" l="1"/>
  <c r="G27" i="5"/>
  <c r="AS26" i="6"/>
  <c r="N27" i="5"/>
  <c r="D27" i="6" s="1"/>
  <c r="H27" s="1"/>
  <c r="T27" i="5" s="1"/>
  <c r="G27" i="12" s="1"/>
  <c r="AT26" i="6"/>
  <c r="BF26"/>
  <c r="AP26"/>
  <c r="H27" i="5"/>
  <c r="B27" i="6"/>
  <c r="AR26"/>
  <c r="AE27" i="5"/>
  <c r="B27"/>
  <c r="C28" s="1"/>
  <c r="B28" i="6" s="1"/>
  <c r="A28" s="1"/>
  <c r="J27" i="5"/>
  <c r="A27" i="12"/>
  <c r="J27" s="1"/>
  <c r="D27" i="5"/>
  <c r="B27" i="12" s="1"/>
  <c r="AD27" i="5"/>
  <c r="M26" i="6"/>
  <c r="F26"/>
  <c r="E27" i="5"/>
  <c r="AN26" i="6"/>
  <c r="AX26"/>
  <c r="AU26"/>
  <c r="H26"/>
  <c r="T26" i="5" s="1"/>
  <c r="G26" i="12" s="1"/>
  <c r="AQ26" i="6"/>
  <c r="AZ26"/>
  <c r="BD26"/>
  <c r="AO26"/>
  <c r="BC26"/>
  <c r="N26"/>
  <c r="AY26"/>
  <c r="BB26"/>
  <c r="BA26"/>
  <c r="BG26"/>
  <c r="G26"/>
  <c r="AM26"/>
  <c r="K25" i="12"/>
  <c r="M25" i="6"/>
  <c r="AP25" s="1"/>
  <c r="G25" i="12"/>
  <c r="F27" i="5"/>
  <c r="AN27"/>
  <c r="B30" i="10"/>
  <c r="B32" i="9"/>
  <c r="C28" i="7"/>
  <c r="B27"/>
  <c r="T12" i="10"/>
  <c r="S11"/>
  <c r="S11" i="9"/>
  <c r="T12"/>
  <c r="L27" i="12" l="1"/>
  <c r="K27" s="1"/>
  <c r="AH26" i="6"/>
  <c r="A27"/>
  <c r="N27" s="1"/>
  <c r="F28" i="5"/>
  <c r="W28"/>
  <c r="H28" i="12" s="1"/>
  <c r="AD28" i="5"/>
  <c r="AB26" i="6"/>
  <c r="C29" i="5"/>
  <c r="B29" i="6" s="1"/>
  <c r="H28" i="5"/>
  <c r="R28"/>
  <c r="F28" i="6" s="1"/>
  <c r="B28" i="5"/>
  <c r="AE28"/>
  <c r="A28" i="12"/>
  <c r="G28" i="5"/>
  <c r="N28"/>
  <c r="D28" i="6" s="1"/>
  <c r="BG28" s="1"/>
  <c r="E28" i="5"/>
  <c r="AJ26" i="6"/>
  <c r="AC26"/>
  <c r="AD26"/>
  <c r="AG26"/>
  <c r="AI26"/>
  <c r="AF26"/>
  <c r="AK26"/>
  <c r="AY25"/>
  <c r="BG25"/>
  <c r="AD25"/>
  <c r="BC25"/>
  <c r="AV25"/>
  <c r="AC25"/>
  <c r="AI25"/>
  <c r="BF25"/>
  <c r="AJ25"/>
  <c r="AB25"/>
  <c r="AS25"/>
  <c r="AH25"/>
  <c r="AX25"/>
  <c r="AM25"/>
  <c r="AG25"/>
  <c r="AQ25"/>
  <c r="AK25"/>
  <c r="BA25"/>
  <c r="AF25"/>
  <c r="AO25"/>
  <c r="AU25"/>
  <c r="BE25"/>
  <c r="BB25"/>
  <c r="AN25"/>
  <c r="AR25"/>
  <c r="BD25"/>
  <c r="AZ25"/>
  <c r="AT25"/>
  <c r="W27" i="5"/>
  <c r="H27" i="12" s="1"/>
  <c r="B33" i="9"/>
  <c r="C29" i="7"/>
  <c r="B28"/>
  <c r="B31" i="10"/>
  <c r="U12"/>
  <c r="T11"/>
  <c r="T11" i="9"/>
  <c r="U12"/>
  <c r="M27" i="6" l="1"/>
  <c r="AG27" s="1"/>
  <c r="AR28"/>
  <c r="G28"/>
  <c r="BC28"/>
  <c r="J29" i="5"/>
  <c r="N29"/>
  <c r="D29" i="6" s="1"/>
  <c r="H29" s="1"/>
  <c r="T29" i="5" s="1"/>
  <c r="G29" i="12" s="1"/>
  <c r="K29" i="5"/>
  <c r="AE29"/>
  <c r="B29"/>
  <c r="F29"/>
  <c r="BF28" i="6"/>
  <c r="E28" i="12"/>
  <c r="AY28" i="6"/>
  <c r="AD29" i="5"/>
  <c r="C30"/>
  <c r="N30" s="1"/>
  <c r="D30" i="6" s="1"/>
  <c r="H30" s="1"/>
  <c r="T30" i="5" s="1"/>
  <c r="G30" i="12" s="1"/>
  <c r="D29" i="5"/>
  <c r="B29" i="12" s="1"/>
  <c r="H29" i="5"/>
  <c r="H28" i="6"/>
  <c r="T28" i="5" s="1"/>
  <c r="G28" i="12" s="1"/>
  <c r="N28" i="6"/>
  <c r="AP28"/>
  <c r="AO28"/>
  <c r="AX28"/>
  <c r="AT28"/>
  <c r="M28"/>
  <c r="AU28"/>
  <c r="BA28"/>
  <c r="BB28"/>
  <c r="AS28"/>
  <c r="AM28"/>
  <c r="BD28"/>
  <c r="AQ28"/>
  <c r="AZ28"/>
  <c r="AN28"/>
  <c r="A29" i="12"/>
  <c r="L29" s="1"/>
  <c r="E29" i="5"/>
  <c r="AV28" i="6"/>
  <c r="G29" i="5"/>
  <c r="BE28" i="6"/>
  <c r="B34" i="9"/>
  <c r="B32" i="10"/>
  <c r="B29" i="7"/>
  <c r="C30"/>
  <c r="V12" i="10"/>
  <c r="U11"/>
  <c r="V12" i="9"/>
  <c r="U11"/>
  <c r="AN27" i="6" l="1"/>
  <c r="AS27"/>
  <c r="AV27"/>
  <c r="AT27"/>
  <c r="AB27"/>
  <c r="AX27"/>
  <c r="AF27"/>
  <c r="AK27"/>
  <c r="AO27"/>
  <c r="BF27"/>
  <c r="AQ27"/>
  <c r="AD28"/>
  <c r="BB27"/>
  <c r="AU27"/>
  <c r="BA27"/>
  <c r="AI27"/>
  <c r="AY27"/>
  <c r="BE27"/>
  <c r="AZ27"/>
  <c r="AD27"/>
  <c r="AM27"/>
  <c r="AH27"/>
  <c r="AR27"/>
  <c r="AJ27"/>
  <c r="AC27"/>
  <c r="BC27"/>
  <c r="BG27"/>
  <c r="BD27"/>
  <c r="AP27"/>
  <c r="A29"/>
  <c r="N29" s="1"/>
  <c r="AI28"/>
  <c r="AH28"/>
  <c r="AE30" i="5"/>
  <c r="A30" i="12"/>
  <c r="L30" s="1"/>
  <c r="AF28" i="6"/>
  <c r="AG28"/>
  <c r="B30"/>
  <c r="D30" i="5"/>
  <c r="B30" i="12" s="1"/>
  <c r="H30" i="5"/>
  <c r="C31"/>
  <c r="A31" i="12" s="1"/>
  <c r="J31" s="1"/>
  <c r="AK28" i="6"/>
  <c r="K30" i="5"/>
  <c r="G30"/>
  <c r="F30"/>
  <c r="J30"/>
  <c r="B30"/>
  <c r="AD30"/>
  <c r="E30"/>
  <c r="AC28" i="6"/>
  <c r="J29" i="12"/>
  <c r="K29" s="1"/>
  <c r="AB28" i="6"/>
  <c r="AJ28"/>
  <c r="B33" i="10"/>
  <c r="B35" i="9"/>
  <c r="B30" i="7"/>
  <c r="C31"/>
  <c r="W12" i="9"/>
  <c r="V11"/>
  <c r="W12" i="10"/>
  <c r="V11"/>
  <c r="M29" i="6" l="1"/>
  <c r="AI29" s="1"/>
  <c r="J30" i="12"/>
  <c r="K30" s="1"/>
  <c r="C32" i="5"/>
  <c r="A32" i="12" s="1"/>
  <c r="AE31" i="5"/>
  <c r="A30" i="6"/>
  <c r="N30" s="1"/>
  <c r="N31" i="5"/>
  <c r="D31" i="6" s="1"/>
  <c r="H31" s="1"/>
  <c r="T31" i="5" s="1"/>
  <c r="G31" i="12" s="1"/>
  <c r="K31" i="5"/>
  <c r="L31" i="12"/>
  <c r="K31" s="1"/>
  <c r="H31" i="5"/>
  <c r="G31"/>
  <c r="D31"/>
  <c r="B31" i="12" s="1"/>
  <c r="E31" i="5"/>
  <c r="B31" i="6"/>
  <c r="B31" i="5"/>
  <c r="J31"/>
  <c r="AD31"/>
  <c r="F31"/>
  <c r="C32" i="7"/>
  <c r="B31"/>
  <c r="B36" i="9"/>
  <c r="B34" i="10"/>
  <c r="W11"/>
  <c r="X12"/>
  <c r="W11" i="9"/>
  <c r="X12"/>
  <c r="A31" i="6" l="1"/>
  <c r="N31" s="1"/>
  <c r="M30"/>
  <c r="BB30" s="1"/>
  <c r="AM29"/>
  <c r="AZ29"/>
  <c r="BC29"/>
  <c r="BD29"/>
  <c r="BA29"/>
  <c r="AG29"/>
  <c r="AH29"/>
  <c r="AB29"/>
  <c r="AK29"/>
  <c r="C33" i="5"/>
  <c r="C34" s="1"/>
  <c r="BB29" i="6"/>
  <c r="AX29"/>
  <c r="BF29"/>
  <c r="AQ29"/>
  <c r="AT29"/>
  <c r="AF29"/>
  <c r="AS29"/>
  <c r="AO29"/>
  <c r="AJ29"/>
  <c r="AC29"/>
  <c r="BE29"/>
  <c r="AU29"/>
  <c r="AD29"/>
  <c r="AP29"/>
  <c r="AN29"/>
  <c r="AR29"/>
  <c r="AY29"/>
  <c r="BG29"/>
  <c r="AV29"/>
  <c r="N32" i="5"/>
  <c r="D32" i="6" s="1"/>
  <c r="H32" s="1"/>
  <c r="T32" i="5" s="1"/>
  <c r="G32" i="12" s="1"/>
  <c r="H32" i="5"/>
  <c r="J32"/>
  <c r="AE32"/>
  <c r="G32"/>
  <c r="D32"/>
  <c r="B32" i="12" s="1"/>
  <c r="K32" i="5"/>
  <c r="AD32"/>
  <c r="E32"/>
  <c r="B32"/>
  <c r="B32" i="6"/>
  <c r="F32" i="5"/>
  <c r="J32" i="12"/>
  <c r="L32"/>
  <c r="B37" i="9"/>
  <c r="B35" i="10"/>
  <c r="B32" i="7"/>
  <c r="C33"/>
  <c r="X11" i="9"/>
  <c r="Y12"/>
  <c r="Y12" i="10"/>
  <c r="X11"/>
  <c r="M31" i="6" l="1"/>
  <c r="AH31" s="1"/>
  <c r="AV30"/>
  <c r="BF30"/>
  <c r="BD30"/>
  <c r="AB30"/>
  <c r="AR30"/>
  <c r="BG30"/>
  <c r="AG30"/>
  <c r="AT30"/>
  <c r="BA30"/>
  <c r="AH30"/>
  <c r="AK30"/>
  <c r="AF30"/>
  <c r="AN30"/>
  <c r="AM30"/>
  <c r="AS30"/>
  <c r="AX30"/>
  <c r="AJ30"/>
  <c r="AP30"/>
  <c r="AO30"/>
  <c r="AQ30"/>
  <c r="AY30"/>
  <c r="BC30"/>
  <c r="AU30"/>
  <c r="AZ30"/>
  <c r="AD30"/>
  <c r="E33" i="5"/>
  <c r="E34" s="1"/>
  <c r="D33"/>
  <c r="B33" i="12" s="1"/>
  <c r="H33" i="5"/>
  <c r="H34" s="1"/>
  <c r="AC30" i="6"/>
  <c r="BE30"/>
  <c r="AE33" i="5"/>
  <c r="B33"/>
  <c r="B34" s="1"/>
  <c r="AI30" i="6"/>
  <c r="F33" i="5"/>
  <c r="F34" s="1"/>
  <c r="A33" i="12"/>
  <c r="L33" s="1"/>
  <c r="B33" i="6"/>
  <c r="G33" i="5"/>
  <c r="G34" s="1"/>
  <c r="A32" i="6"/>
  <c r="N32" s="1"/>
  <c r="J33" i="5"/>
  <c r="AD33"/>
  <c r="K33"/>
  <c r="N33"/>
  <c r="D33" i="6" s="1"/>
  <c r="H33" s="1"/>
  <c r="T33" i="5" s="1"/>
  <c r="G33" i="12" s="1"/>
  <c r="K32"/>
  <c r="C35" i="5"/>
  <c r="AE34"/>
  <c r="B34" i="6"/>
  <c r="D34" i="5"/>
  <c r="B34" i="12" s="1"/>
  <c r="A34"/>
  <c r="AD34" i="5"/>
  <c r="N34"/>
  <c r="D34" i="6" s="1"/>
  <c r="J34" i="5"/>
  <c r="K34"/>
  <c r="B36" i="10"/>
  <c r="C34" i="7"/>
  <c r="B33"/>
  <c r="B38" i="9"/>
  <c r="Y11" i="10"/>
  <c r="Z12"/>
  <c r="Y11" i="9"/>
  <c r="Z12"/>
  <c r="AM31" i="6" l="1"/>
  <c r="AQ31"/>
  <c r="BB31"/>
  <c r="BD31"/>
  <c r="AK31"/>
  <c r="AJ31"/>
  <c r="AG31"/>
  <c r="BA31"/>
  <c r="AS31"/>
  <c r="AZ31"/>
  <c r="BG31"/>
  <c r="AV31"/>
  <c r="AC31"/>
  <c r="AB31"/>
  <c r="BF31"/>
  <c r="AF31"/>
  <c r="AR31"/>
  <c r="BC31"/>
  <c r="AI31"/>
  <c r="AD31"/>
  <c r="AP31"/>
  <c r="BE31"/>
  <c r="AO31"/>
  <c r="AN31"/>
  <c r="AT31"/>
  <c r="AX31"/>
  <c r="AU31"/>
  <c r="AY31"/>
  <c r="J33" i="12"/>
  <c r="K33" s="1"/>
  <c r="M32" i="6"/>
  <c r="AB32" s="1"/>
  <c r="A33"/>
  <c r="N33" s="1"/>
  <c r="B35" i="5"/>
  <c r="J35"/>
  <c r="K35"/>
  <c r="D35"/>
  <c r="B35" i="12" s="1"/>
  <c r="B35" i="6"/>
  <c r="H35" i="5"/>
  <c r="AD35"/>
  <c r="G35"/>
  <c r="N35"/>
  <c r="D35" i="6" s="1"/>
  <c r="F35" i="5"/>
  <c r="AE35"/>
  <c r="C36"/>
  <c r="E35"/>
  <c r="A35" i="12"/>
  <c r="J34"/>
  <c r="L34"/>
  <c r="H34" i="6"/>
  <c r="T34" i="5" s="1"/>
  <c r="G34" i="12" s="1"/>
  <c r="C35" i="7"/>
  <c r="B34"/>
  <c r="B39" i="9"/>
  <c r="B37" i="10"/>
  <c r="Z11"/>
  <c r="AA12"/>
  <c r="Z11" i="9"/>
  <c r="AA12"/>
  <c r="AI32" i="6" l="1"/>
  <c r="BE32"/>
  <c r="BD32"/>
  <c r="AH32"/>
  <c r="BB32"/>
  <c r="AP32"/>
  <c r="AD32"/>
  <c r="AK32"/>
  <c r="AT32"/>
  <c r="AQ32"/>
  <c r="BC32"/>
  <c r="BA32"/>
  <c r="AV32"/>
  <c r="BF32"/>
  <c r="AX32"/>
  <c r="AO32"/>
  <c r="AG32"/>
  <c r="AJ32"/>
  <c r="AN32"/>
  <c r="AC32"/>
  <c r="AM32"/>
  <c r="AR32"/>
  <c r="AS32"/>
  <c r="AY32"/>
  <c r="BG32"/>
  <c r="AZ32"/>
  <c r="AU32"/>
  <c r="AF32"/>
  <c r="M33"/>
  <c r="BB33" s="1"/>
  <c r="A34"/>
  <c r="N34" s="1"/>
  <c r="K34" i="12"/>
  <c r="H35" i="6"/>
  <c r="T35" i="5" s="1"/>
  <c r="G35" i="12" s="1"/>
  <c r="D36" i="5"/>
  <c r="B36" i="12" s="1"/>
  <c r="AD36" i="5"/>
  <c r="B36" i="6"/>
  <c r="H36" i="5"/>
  <c r="AE36"/>
  <c r="K36"/>
  <c r="A36" i="12"/>
  <c r="J36" i="5"/>
  <c r="G36"/>
  <c r="F36"/>
  <c r="E36"/>
  <c r="B36"/>
  <c r="C37" s="1"/>
  <c r="R37" s="1"/>
  <c r="N36"/>
  <c r="D36" i="6" s="1"/>
  <c r="L35" i="12"/>
  <c r="J35"/>
  <c r="B35" i="7"/>
  <c r="C36"/>
  <c r="B40" i="9"/>
  <c r="B38" i="10"/>
  <c r="AB12"/>
  <c r="AA11"/>
  <c r="AB12" i="9"/>
  <c r="AA11"/>
  <c r="A35" i="6" l="1"/>
  <c r="N35" s="1"/>
  <c r="AH33"/>
  <c r="AU33"/>
  <c r="AV33"/>
  <c r="AN33"/>
  <c r="AI33"/>
  <c r="BA33"/>
  <c r="AO33"/>
  <c r="AQ33"/>
  <c r="BC33"/>
  <c r="AZ33"/>
  <c r="AK33"/>
  <c r="BF33"/>
  <c r="AF33"/>
  <c r="AX33"/>
  <c r="AD33"/>
  <c r="AM33"/>
  <c r="AP33"/>
  <c r="AR33"/>
  <c r="BD33"/>
  <c r="BG33"/>
  <c r="AB33"/>
  <c r="M34"/>
  <c r="BC34" s="1"/>
  <c r="AG33"/>
  <c r="AY33"/>
  <c r="AC33"/>
  <c r="AJ33"/>
  <c r="AT33"/>
  <c r="BE33"/>
  <c r="AS33"/>
  <c r="K35" i="12"/>
  <c r="J36"/>
  <c r="L36"/>
  <c r="H36" i="6"/>
  <c r="T36" i="5" s="1"/>
  <c r="G36" i="12" s="1"/>
  <c r="AD37" i="5"/>
  <c r="H37"/>
  <c r="W37"/>
  <c r="H37" i="12" s="1"/>
  <c r="E37" i="5"/>
  <c r="C38"/>
  <c r="B37" i="6"/>
  <c r="A37" s="1"/>
  <c r="A37" i="12"/>
  <c r="B37" i="5"/>
  <c r="F37"/>
  <c r="G37"/>
  <c r="AE37"/>
  <c r="N37"/>
  <c r="D37" i="6" s="1"/>
  <c r="B41" i="9"/>
  <c r="B39" i="10"/>
  <c r="B36" i="7"/>
  <c r="C37"/>
  <c r="AB11" i="10"/>
  <c r="AC12"/>
  <c r="AC12" i="9"/>
  <c r="AB11"/>
  <c r="A36" i="6" l="1"/>
  <c r="M36" s="1"/>
  <c r="AC36" s="1"/>
  <c r="M35"/>
  <c r="AY35" s="1"/>
  <c r="AC34"/>
  <c r="AZ34"/>
  <c r="BF34"/>
  <c r="AF34"/>
  <c r="AH34"/>
  <c r="BD34"/>
  <c r="AO34"/>
  <c r="BE34"/>
  <c r="AQ34"/>
  <c r="AD34"/>
  <c r="AS34"/>
  <c r="BA34"/>
  <c r="AX34"/>
  <c r="AY34"/>
  <c r="AN34"/>
  <c r="AR34"/>
  <c r="AP34"/>
  <c r="BB34"/>
  <c r="AG34"/>
  <c r="AM34"/>
  <c r="BG34"/>
  <c r="AI34"/>
  <c r="AT34"/>
  <c r="AB34"/>
  <c r="AV34"/>
  <c r="AK34"/>
  <c r="AU34"/>
  <c r="AJ34"/>
  <c r="K36" i="12"/>
  <c r="M37" i="6"/>
  <c r="AS37"/>
  <c r="AR37"/>
  <c r="AP37"/>
  <c r="AX37"/>
  <c r="AQ37"/>
  <c r="G37"/>
  <c r="AV37"/>
  <c r="AM37"/>
  <c r="BE37"/>
  <c r="BD37"/>
  <c r="BC37"/>
  <c r="N37"/>
  <c r="AO37"/>
  <c r="H37"/>
  <c r="BB37"/>
  <c r="BG37"/>
  <c r="BF37"/>
  <c r="AN37"/>
  <c r="AY37"/>
  <c r="AU37"/>
  <c r="AT37"/>
  <c r="BA37"/>
  <c r="AZ37"/>
  <c r="E37" i="12"/>
  <c r="F37" i="6"/>
  <c r="AE38" i="5"/>
  <c r="B38" i="6"/>
  <c r="K38" i="5"/>
  <c r="A38" i="12"/>
  <c r="B38" i="5"/>
  <c r="J38"/>
  <c r="H38"/>
  <c r="F38"/>
  <c r="AD38"/>
  <c r="E38"/>
  <c r="G38"/>
  <c r="N38"/>
  <c r="D38" i="6" s="1"/>
  <c r="D38" i="5"/>
  <c r="B38" i="12" s="1"/>
  <c r="C39" i="5"/>
  <c r="B42" i="9"/>
  <c r="C38" i="7"/>
  <c r="B37"/>
  <c r="B40" i="10"/>
  <c r="AC11"/>
  <c r="AD12"/>
  <c r="AC11" i="9"/>
  <c r="AD12"/>
  <c r="AJ35" i="6" l="1"/>
  <c r="AQ35"/>
  <c r="AS35"/>
  <c r="BE35"/>
  <c r="AP35"/>
  <c r="BF35"/>
  <c r="BB35"/>
  <c r="BC35"/>
  <c r="AN35"/>
  <c r="BF36"/>
  <c r="AR36"/>
  <c r="AK36"/>
  <c r="AM36"/>
  <c r="BD36"/>
  <c r="BC36"/>
  <c r="AG35"/>
  <c r="AZ35"/>
  <c r="AD35"/>
  <c r="AO36"/>
  <c r="AO35"/>
  <c r="AV35"/>
  <c r="AR35"/>
  <c r="AX36"/>
  <c r="AH36"/>
  <c r="AZ36"/>
  <c r="N36"/>
  <c r="AF35"/>
  <c r="AC35"/>
  <c r="BG36"/>
  <c r="AG36"/>
  <c r="BE36"/>
  <c r="BG35"/>
  <c r="AX35"/>
  <c r="AF36"/>
  <c r="AY36"/>
  <c r="AK35"/>
  <c r="AN36"/>
  <c r="AI36"/>
  <c r="AU36"/>
  <c r="AS36"/>
  <c r="AH35"/>
  <c r="BA35"/>
  <c r="BA36"/>
  <c r="AD36"/>
  <c r="AQ36"/>
  <c r="AU35"/>
  <c r="AM35"/>
  <c r="BB36"/>
  <c r="AV36"/>
  <c r="AP36"/>
  <c r="AB36"/>
  <c r="AT35"/>
  <c r="AB35"/>
  <c r="AJ36"/>
  <c r="AT36"/>
  <c r="AI35"/>
  <c r="BD35"/>
  <c r="AG37"/>
  <c r="AB37"/>
  <c r="AK37"/>
  <c r="AI37"/>
  <c r="AJ37"/>
  <c r="A38"/>
  <c r="M38" s="1"/>
  <c r="AO38" s="1"/>
  <c r="J38" i="12"/>
  <c r="L38"/>
  <c r="B39" i="5"/>
  <c r="B39" i="6"/>
  <c r="A39" i="12"/>
  <c r="E39" i="5"/>
  <c r="AD39"/>
  <c r="C40"/>
  <c r="D39"/>
  <c r="B39" i="12" s="1"/>
  <c r="F39" i="5"/>
  <c r="K39"/>
  <c r="J39"/>
  <c r="G39"/>
  <c r="N39"/>
  <c r="D39" i="6" s="1"/>
  <c r="H39" i="5"/>
  <c r="AE39"/>
  <c r="H38" i="6"/>
  <c r="T37" i="5"/>
  <c r="G37" i="12" s="1"/>
  <c r="AF37" i="6"/>
  <c r="AC37"/>
  <c r="AD37"/>
  <c r="AH37"/>
  <c r="B41" i="10"/>
  <c r="C39" i="7"/>
  <c r="B38"/>
  <c r="B43" i="9"/>
  <c r="AD11"/>
  <c r="AE12"/>
  <c r="AE11" s="1"/>
  <c r="AE12" i="10"/>
  <c r="AD11"/>
  <c r="K38" i="12" l="1"/>
  <c r="AB38" i="6"/>
  <c r="BB38"/>
  <c r="AN38"/>
  <c r="AC38"/>
  <c r="A39"/>
  <c r="N39" s="1"/>
  <c r="BA38"/>
  <c r="BD38"/>
  <c r="AV38"/>
  <c r="AX38"/>
  <c r="AT38"/>
  <c r="AR38"/>
  <c r="BC38"/>
  <c r="AP38"/>
  <c r="BG38"/>
  <c r="AU38"/>
  <c r="BF38"/>
  <c r="BE38"/>
  <c r="N38"/>
  <c r="AS38"/>
  <c r="AQ38"/>
  <c r="AY38"/>
  <c r="AM38"/>
  <c r="AZ38"/>
  <c r="J39" i="12"/>
  <c r="L39"/>
  <c r="AG38" i="6"/>
  <c r="K40" i="5"/>
  <c r="B40"/>
  <c r="C41" s="1"/>
  <c r="R41" s="1"/>
  <c r="F40"/>
  <c r="AE40"/>
  <c r="N40"/>
  <c r="D40" i="6" s="1"/>
  <c r="G40" i="5"/>
  <c r="J40"/>
  <c r="A40" i="12"/>
  <c r="H40" i="5"/>
  <c r="D40"/>
  <c r="B40" i="12" s="1"/>
  <c r="E40" i="5"/>
  <c r="AD40"/>
  <c r="B40" i="6"/>
  <c r="T38" i="5"/>
  <c r="G38" i="12" s="1"/>
  <c r="AD38" i="6"/>
  <c r="AH38"/>
  <c r="AF38"/>
  <c r="AK38"/>
  <c r="AI38"/>
  <c r="AJ38"/>
  <c r="H39"/>
  <c r="T39" i="5" s="1"/>
  <c r="G39" i="12" s="1"/>
  <c r="B42" i="10"/>
  <c r="C40" i="7"/>
  <c r="B39"/>
  <c r="B44" i="9"/>
  <c r="AE11" i="10"/>
  <c r="AF12"/>
  <c r="AF11" s="1"/>
  <c r="F41" i="5" l="1"/>
  <c r="AE41"/>
  <c r="AD41"/>
  <c r="W41"/>
  <c r="H41" i="12" s="1"/>
  <c r="C42" i="5"/>
  <c r="J42" s="1"/>
  <c r="B41" i="6"/>
  <c r="A41" i="12"/>
  <c r="N41" i="5"/>
  <c r="D41" i="6" s="1"/>
  <c r="B41" i="5"/>
  <c r="G41"/>
  <c r="H41"/>
  <c r="E41"/>
  <c r="F41" i="6"/>
  <c r="E41" i="12"/>
  <c r="M39" i="6"/>
  <c r="H40"/>
  <c r="T40" i="5" s="1"/>
  <c r="G40" i="12" s="1"/>
  <c r="L40"/>
  <c r="J40"/>
  <c r="K39"/>
  <c r="A40" i="6"/>
  <c r="B45" i="9"/>
  <c r="C41" i="7"/>
  <c r="B40"/>
  <c r="B43" i="10"/>
  <c r="A41" i="6" l="1"/>
  <c r="K40" i="12"/>
  <c r="D42" i="5"/>
  <c r="B42" i="12" s="1"/>
  <c r="K42" i="5"/>
  <c r="B42"/>
  <c r="G42"/>
  <c r="F42"/>
  <c r="H42"/>
  <c r="AE42"/>
  <c r="AD42"/>
  <c r="E42"/>
  <c r="B42" i="6"/>
  <c r="N42" i="5"/>
  <c r="D42" i="6" s="1"/>
  <c r="A42" i="12"/>
  <c r="L42" s="1"/>
  <c r="G41" i="6"/>
  <c r="H41"/>
  <c r="T41" i="5" s="1"/>
  <c r="AZ41" i="6"/>
  <c r="M41"/>
  <c r="AY41" s="1"/>
  <c r="N41"/>
  <c r="AO41"/>
  <c r="AQ41"/>
  <c r="BE41"/>
  <c r="AR41"/>
  <c r="AY39"/>
  <c r="AN39"/>
  <c r="AI39"/>
  <c r="BB39"/>
  <c r="AU39"/>
  <c r="AS39"/>
  <c r="BC39"/>
  <c r="AX39"/>
  <c r="BD39"/>
  <c r="AO39"/>
  <c r="AQ39"/>
  <c r="AJ39"/>
  <c r="AD39"/>
  <c r="BF39"/>
  <c r="BA39"/>
  <c r="BG39"/>
  <c r="AF39"/>
  <c r="AV39"/>
  <c r="BE39"/>
  <c r="AK39"/>
  <c r="AB39"/>
  <c r="AC39"/>
  <c r="AH39"/>
  <c r="AG39"/>
  <c r="AR39"/>
  <c r="AZ39"/>
  <c r="AP39"/>
  <c r="AT39"/>
  <c r="AM39"/>
  <c r="N40"/>
  <c r="M40"/>
  <c r="AD40" s="1"/>
  <c r="C42" i="7"/>
  <c r="B41"/>
  <c r="B44" i="10"/>
  <c r="B46" i="9"/>
  <c r="K41" i="5" l="1"/>
  <c r="K23"/>
  <c r="J23"/>
  <c r="J42" i="12"/>
  <c r="K42" s="1"/>
  <c r="A42" i="6"/>
  <c r="M42" s="1"/>
  <c r="AS42" s="1"/>
  <c r="J41" i="5"/>
  <c r="AB41" i="6"/>
  <c r="AK41"/>
  <c r="G41" i="12"/>
  <c r="H42" i="6"/>
  <c r="T42" i="5" s="1"/>
  <c r="BF41" i="6"/>
  <c r="AM41"/>
  <c r="AF41"/>
  <c r="BG41"/>
  <c r="BD41"/>
  <c r="AU41"/>
  <c r="AT41"/>
  <c r="AD41"/>
  <c r="AH41"/>
  <c r="AG41"/>
  <c r="AS41"/>
  <c r="AV41"/>
  <c r="AX41"/>
  <c r="BA41"/>
  <c r="AI41"/>
  <c r="BC41"/>
  <c r="AN41"/>
  <c r="AJ41"/>
  <c r="AP41"/>
  <c r="AC41"/>
  <c r="BB41"/>
  <c r="AF40"/>
  <c r="AU40"/>
  <c r="BD40"/>
  <c r="AT40"/>
  <c r="BG40"/>
  <c r="BA40"/>
  <c r="AQ40"/>
  <c r="AR40"/>
  <c r="AG40"/>
  <c r="AP40"/>
  <c r="BC40"/>
  <c r="AZ40"/>
  <c r="AC40"/>
  <c r="BF40"/>
  <c r="AV40"/>
  <c r="BE40"/>
  <c r="AH40"/>
  <c r="BB40"/>
  <c r="AM40"/>
  <c r="AN40"/>
  <c r="AO40"/>
  <c r="AY40"/>
  <c r="AS40"/>
  <c r="AK40"/>
  <c r="AX40"/>
  <c r="AJ40"/>
  <c r="AI40"/>
  <c r="AB40"/>
  <c r="B47" i="9"/>
  <c r="B45" i="10"/>
  <c r="B42" i="7"/>
  <c r="C43"/>
  <c r="D23" i="5" l="1"/>
  <c r="D41"/>
  <c r="B41" i="12" s="1"/>
  <c r="N42" i="6"/>
  <c r="BC42"/>
  <c r="AN42"/>
  <c r="BG42"/>
  <c r="AG42"/>
  <c r="AH42"/>
  <c r="BB42"/>
  <c r="AO42"/>
  <c r="AP42"/>
  <c r="AM42"/>
  <c r="BD42"/>
  <c r="AC42"/>
  <c r="AB42"/>
  <c r="AQ42"/>
  <c r="AT42"/>
  <c r="AV42"/>
  <c r="AD42"/>
  <c r="AU42"/>
  <c r="AI42"/>
  <c r="BE42"/>
  <c r="AY42"/>
  <c r="AX42"/>
  <c r="AR42"/>
  <c r="AK42"/>
  <c r="AJ42"/>
  <c r="G42" i="12"/>
  <c r="BF42" i="6"/>
  <c r="BA42"/>
  <c r="AZ42"/>
  <c r="AF42"/>
  <c r="B43" i="7"/>
  <c r="C44"/>
  <c r="B46" i="10"/>
  <c r="B48" i="9"/>
  <c r="B23" i="12" l="1"/>
  <c r="B44" i="7"/>
  <c r="C45"/>
  <c r="B47" i="10"/>
  <c r="B49" i="9"/>
  <c r="B50" l="1"/>
  <c r="B48" i="10"/>
  <c r="C46" i="7"/>
  <c r="B45"/>
  <c r="C47" l="1"/>
  <c r="B46"/>
  <c r="B49" i="10"/>
  <c r="B51" i="9"/>
  <c r="B50" i="10" l="1"/>
  <c r="C48" i="7"/>
  <c r="B47"/>
  <c r="B52" i="9"/>
  <c r="B53" l="1"/>
  <c r="C49" i="7"/>
  <c r="B48"/>
  <c r="B51" i="10"/>
  <c r="B52" l="1"/>
  <c r="B49" i="7"/>
  <c r="C50"/>
  <c r="B54" i="9"/>
  <c r="B55" l="1"/>
  <c r="B53" i="10"/>
  <c r="B50" i="7"/>
  <c r="C51"/>
  <c r="J37" i="5" l="1"/>
  <c r="K37"/>
  <c r="J28"/>
  <c r="K28"/>
  <c r="J26"/>
  <c r="K26"/>
  <c r="B54" i="10"/>
  <c r="B56" i="9"/>
  <c r="C52" i="7"/>
  <c r="B51"/>
  <c r="D37" i="5" l="1"/>
  <c r="B37" i="12" s="1"/>
  <c r="D28" i="5"/>
  <c r="B28" i="12" s="1"/>
  <c r="D26" i="5"/>
  <c r="B26" i="12" s="1"/>
  <c r="C53" i="7"/>
  <c r="B52"/>
  <c r="B57" i="9"/>
  <c r="B55" i="10"/>
  <c r="B56" l="1"/>
  <c r="B58" i="9"/>
  <c r="C54" i="7"/>
  <c r="B53"/>
  <c r="C55" l="1"/>
  <c r="B54"/>
  <c r="B59" i="9"/>
  <c r="B57" i="10"/>
  <c r="B60" i="9" l="1"/>
  <c r="B58" i="10"/>
  <c r="C56" i="7"/>
  <c r="B55"/>
  <c r="B56" l="1"/>
  <c r="C57"/>
  <c r="B59" i="10"/>
  <c r="B61" i="9"/>
  <c r="B62" l="1"/>
  <c r="B60" i="10"/>
  <c r="B57" i="7"/>
  <c r="C58"/>
  <c r="C59" l="1"/>
  <c r="B58"/>
  <c r="B61" i="10"/>
  <c r="B63" i="9"/>
  <c r="C60" i="7" l="1"/>
  <c r="B59"/>
  <c r="B64" i="9"/>
  <c r="B62" i="10"/>
  <c r="B63" l="1"/>
  <c r="C61" i="7"/>
  <c r="B60"/>
  <c r="C62" l="1"/>
  <c r="B61"/>
  <c r="B64" i="10"/>
  <c r="B62" i="7" l="1"/>
  <c r="C63"/>
  <c r="B63" l="1"/>
  <c r="C64"/>
  <c r="B64" s="1"/>
  <c r="AE12" i="6" l="1"/>
  <c r="H14"/>
  <c r="AJ14" s="1"/>
  <c r="K11" i="10"/>
  <c r="AP12" i="6"/>
  <c r="J11" i="9"/>
  <c r="BA12" i="6"/>
  <c r="AE23" l="1"/>
  <c r="AE24"/>
  <c r="AE25"/>
  <c r="AE22"/>
  <c r="AE41"/>
  <c r="AE42"/>
  <c r="AE19"/>
  <c r="AE20"/>
  <c r="AE21"/>
  <c r="AE34"/>
  <c r="AE40"/>
  <c r="AE33"/>
  <c r="AE30"/>
  <c r="AE16"/>
  <c r="AE17"/>
  <c r="AE18"/>
  <c r="AE26"/>
  <c r="AE27"/>
  <c r="X27" i="5" s="1"/>
  <c r="AE28" i="6"/>
  <c r="AE29"/>
  <c r="AE31"/>
  <c r="AE32"/>
  <c r="AE35"/>
  <c r="AE36"/>
  <c r="AE37"/>
  <c r="AE38"/>
  <c r="AE39"/>
  <c r="AK14"/>
  <c r="T14" i="5"/>
  <c r="AB14" i="6"/>
  <c r="AE14"/>
  <c r="AD14"/>
  <c r="AH14"/>
  <c r="AC14"/>
  <c r="AG14"/>
  <c r="AI14"/>
  <c r="AF14"/>
  <c r="X26" i="5" l="1"/>
  <c r="I17"/>
  <c r="L27"/>
  <c r="Z27"/>
  <c r="I27" i="12"/>
  <c r="AM27" i="5"/>
  <c r="G14" i="12"/>
  <c r="X14" i="5"/>
  <c r="I26" l="1"/>
  <c r="I27" s="1"/>
  <c r="I28" s="1"/>
  <c r="I26" i="12"/>
  <c r="L26" s="1"/>
  <c r="Z26" i="5"/>
  <c r="L26"/>
  <c r="C26" i="6" s="1"/>
  <c r="AM26" i="5"/>
  <c r="C27" i="6"/>
  <c r="AB27" i="5"/>
  <c r="C27" i="12"/>
  <c r="M27"/>
  <c r="AO27"/>
  <c r="O27"/>
  <c r="I14"/>
  <c r="L14" i="5"/>
  <c r="I14"/>
  <c r="Z14"/>
  <c r="AM14"/>
  <c r="C26" i="12" l="1"/>
  <c r="J26"/>
  <c r="K26" s="1"/>
  <c r="AO26"/>
  <c r="O26"/>
  <c r="M26"/>
  <c r="AB26" i="5"/>
  <c r="Y27" i="12"/>
  <c r="N27"/>
  <c r="AA14" i="5"/>
  <c r="AB14"/>
  <c r="O14"/>
  <c r="C14" i="6"/>
  <c r="O14" i="12"/>
  <c r="M14"/>
  <c r="C14"/>
  <c r="AO14"/>
  <c r="Y26" l="1"/>
  <c r="W26" s="1"/>
  <c r="N26"/>
  <c r="W27"/>
  <c r="X27"/>
  <c r="N14"/>
  <c r="Y14"/>
  <c r="D14"/>
  <c r="E14" i="6"/>
  <c r="X26" i="12" l="1"/>
  <c r="V26"/>
  <c r="T26"/>
  <c r="U26"/>
  <c r="U27"/>
  <c r="V27"/>
  <c r="T27"/>
  <c r="W14"/>
  <c r="X14"/>
  <c r="U14" l="1"/>
  <c r="V14"/>
  <c r="T14"/>
  <c r="AE3" i="6" l="1"/>
  <c r="T6" s="1"/>
  <c r="A5" i="5" l="1"/>
  <c r="O27" l="1"/>
  <c r="O26"/>
  <c r="K17"/>
  <c r="J17"/>
  <c r="B15" i="11"/>
  <c r="B22"/>
  <c r="A23" i="13"/>
  <c r="B21" i="11"/>
  <c r="A17" i="13"/>
  <c r="A22"/>
  <c r="A16"/>
  <c r="B16" i="11"/>
  <c r="B18"/>
  <c r="B19"/>
  <c r="A20" i="13"/>
  <c r="B20" i="11"/>
  <c r="A19" i="13"/>
  <c r="A18"/>
  <c r="B23" i="11"/>
  <c r="A21" i="13"/>
  <c r="A15"/>
  <c r="B17" i="11"/>
  <c r="E14" i="8"/>
  <c r="E15" s="1"/>
  <c r="E1"/>
  <c r="E2" s="1"/>
  <c r="K16" i="5"/>
  <c r="J16"/>
  <c r="B12" i="11"/>
  <c r="A12" i="13"/>
  <c r="E27" i="6" l="1"/>
  <c r="D27" i="12"/>
  <c r="E26" i="6"/>
  <c r="D26" i="12"/>
  <c r="D17" i="5"/>
  <c r="B17" i="12" s="1"/>
  <c r="AL19" i="13"/>
  <c r="AO19"/>
  <c r="AL12"/>
  <c r="AO12"/>
  <c r="AO18"/>
  <c r="AL18"/>
  <c r="AL23"/>
  <c r="AO23"/>
  <c r="AO21"/>
  <c r="AL21"/>
  <c r="AO15"/>
  <c r="AL15"/>
  <c r="AL17"/>
  <c r="AO17"/>
  <c r="AO22"/>
  <c r="AL22"/>
  <c r="AO16"/>
  <c r="AL16"/>
  <c r="AL20"/>
  <c r="AO20"/>
  <c r="K23" i="11"/>
  <c r="J23" i="13" s="1"/>
  <c r="G23" i="11"/>
  <c r="F23" i="13" s="1"/>
  <c r="O23" i="11"/>
  <c r="C23" i="13"/>
  <c r="AB23" i="11"/>
  <c r="N23" s="1"/>
  <c r="AA23"/>
  <c r="B19" i="13"/>
  <c r="AC19" s="1"/>
  <c r="AB20" i="11"/>
  <c r="N20" s="1"/>
  <c r="AA20"/>
  <c r="G20"/>
  <c r="F20" i="13" s="1"/>
  <c r="O20" i="11"/>
  <c r="C20" i="13"/>
  <c r="K20" i="11"/>
  <c r="J20" i="13" s="1"/>
  <c r="B20"/>
  <c r="AD20" s="1"/>
  <c r="O18" i="11"/>
  <c r="AB18"/>
  <c r="N18" s="1"/>
  <c r="K18"/>
  <c r="J18" i="13" s="1"/>
  <c r="AA18" i="11"/>
  <c r="C18" i="13"/>
  <c r="G18" i="11"/>
  <c r="F18" i="13" s="1"/>
  <c r="C16"/>
  <c r="G16" i="11"/>
  <c r="F16" i="13" s="1"/>
  <c r="AB16" i="11"/>
  <c r="N16" s="1"/>
  <c r="AA16"/>
  <c r="O16"/>
  <c r="K16"/>
  <c r="J16" i="13" s="1"/>
  <c r="B21"/>
  <c r="AD21" s="1"/>
  <c r="B16"/>
  <c r="AE16" s="1"/>
  <c r="B18"/>
  <c r="AE18" s="1"/>
  <c r="B22"/>
  <c r="AF22" s="1"/>
  <c r="B15"/>
  <c r="AF15" s="1"/>
  <c r="AB19" i="11"/>
  <c r="N19" s="1"/>
  <c r="AA19"/>
  <c r="C19" i="13"/>
  <c r="O19" i="11"/>
  <c r="K19"/>
  <c r="J19" i="13" s="1"/>
  <c r="G19" i="11"/>
  <c r="F19" i="13" s="1"/>
  <c r="B17"/>
  <c r="AG17" s="1"/>
  <c r="K17" i="11"/>
  <c r="J17" i="13" s="1"/>
  <c r="AB17" i="11"/>
  <c r="N17" s="1"/>
  <c r="G17"/>
  <c r="F17" i="13" s="1"/>
  <c r="C17"/>
  <c r="AA17" i="11"/>
  <c r="O17"/>
  <c r="K21"/>
  <c r="J21" i="13" s="1"/>
  <c r="C21"/>
  <c r="AB21" i="11"/>
  <c r="N21" s="1"/>
  <c r="AA21"/>
  <c r="G21"/>
  <c r="F21" i="13" s="1"/>
  <c r="O21" i="11"/>
  <c r="B23" i="13"/>
  <c r="AE23" s="1"/>
  <c r="K22" i="11"/>
  <c r="J22" i="13" s="1"/>
  <c r="G22" i="11"/>
  <c r="F22" i="13" s="1"/>
  <c r="C22"/>
  <c r="O22" i="11"/>
  <c r="AB22"/>
  <c r="N22" s="1"/>
  <c r="AA22"/>
  <c r="K15"/>
  <c r="J15" i="13" s="1"/>
  <c r="AA15" i="11"/>
  <c r="G15"/>
  <c r="F15" i="13" s="1"/>
  <c r="AB15" i="11"/>
  <c r="N15" s="1"/>
  <c r="O15"/>
  <c r="C15" i="13"/>
  <c r="D16" i="5"/>
  <c r="B14" i="13" s="1"/>
  <c r="L14" i="8"/>
  <c r="I14"/>
  <c r="N1"/>
  <c r="R1"/>
  <c r="F1" s="1"/>
  <c r="L1"/>
  <c r="P1"/>
  <c r="H1"/>
  <c r="M1"/>
  <c r="O1"/>
  <c r="I1"/>
  <c r="B12" i="13"/>
  <c r="AD12" s="1"/>
  <c r="AA12" i="11"/>
  <c r="C12" i="13"/>
  <c r="AB12" i="11"/>
  <c r="N12" s="1"/>
  <c r="G12"/>
  <c r="F12" i="13" s="1"/>
  <c r="K12" i="11"/>
  <c r="J12" i="13" s="1"/>
  <c r="O12" i="11"/>
  <c r="AK19" i="13" l="1"/>
  <c r="AM19"/>
  <c r="AK16"/>
  <c r="AM16"/>
  <c r="AJ16"/>
  <c r="AJ17"/>
  <c r="AM21"/>
  <c r="AM18"/>
  <c r="AJ19"/>
  <c r="AK17"/>
  <c r="AN21"/>
  <c r="AN18"/>
  <c r="AN16"/>
  <c r="AM17"/>
  <c r="AK21"/>
  <c r="AN19"/>
  <c r="AN17"/>
  <c r="AJ18"/>
  <c r="AJ21"/>
  <c r="AK18"/>
  <c r="AJ20"/>
  <c r="AN22"/>
  <c r="AM15"/>
  <c r="AJ23"/>
  <c r="AN12"/>
  <c r="AK20"/>
  <c r="AN15"/>
  <c r="AK23"/>
  <c r="AM12"/>
  <c r="AJ22"/>
  <c r="AJ12"/>
  <c r="AM20"/>
  <c r="AJ15"/>
  <c r="AM23"/>
  <c r="AK12"/>
  <c r="AN20"/>
  <c r="AM22"/>
  <c r="AK15"/>
  <c r="AN23"/>
  <c r="AK22"/>
  <c r="AH16"/>
  <c r="AG16"/>
  <c r="AF18"/>
  <c r="AF16"/>
  <c r="AC18"/>
  <c r="AG18"/>
  <c r="AH18"/>
  <c r="AD18"/>
  <c r="AG22"/>
  <c r="AC15"/>
  <c r="AG15"/>
  <c r="AH15"/>
  <c r="AD15"/>
  <c r="AH20"/>
  <c r="AG23"/>
  <c r="AF21"/>
  <c r="AH23"/>
  <c r="AC21"/>
  <c r="AH17"/>
  <c r="Z19" i="11"/>
  <c r="W19"/>
  <c r="L19" i="13"/>
  <c r="C19" i="11"/>
  <c r="C15"/>
  <c r="L15" i="13"/>
  <c r="Z15" i="11"/>
  <c r="W15"/>
  <c r="S18" i="13"/>
  <c r="R18"/>
  <c r="T18"/>
  <c r="O18"/>
  <c r="M18"/>
  <c r="K18"/>
  <c r="U18"/>
  <c r="AH19"/>
  <c r="AD19"/>
  <c r="K20"/>
  <c r="S20"/>
  <c r="R20"/>
  <c r="T20"/>
  <c r="M20"/>
  <c r="O20"/>
  <c r="U20"/>
  <c r="C22" i="11"/>
  <c r="W22"/>
  <c r="Z22"/>
  <c r="L22" i="13"/>
  <c r="AG19"/>
  <c r="D15" i="5"/>
  <c r="U19" i="13"/>
  <c r="T19"/>
  <c r="S19"/>
  <c r="K19"/>
  <c r="R19"/>
  <c r="O19"/>
  <c r="M19"/>
  <c r="K17"/>
  <c r="S17"/>
  <c r="O17"/>
  <c r="U17"/>
  <c r="T17"/>
  <c r="R17"/>
  <c r="M17"/>
  <c r="U22"/>
  <c r="R22"/>
  <c r="M22"/>
  <c r="T22"/>
  <c r="K22"/>
  <c r="S22"/>
  <c r="O22"/>
  <c r="AE15"/>
  <c r="AC16"/>
  <c r="AE19"/>
  <c r="AD16"/>
  <c r="W18" i="11"/>
  <c r="L18" i="13"/>
  <c r="C18" i="11"/>
  <c r="Z18"/>
  <c r="AF19" i="13"/>
  <c r="L21"/>
  <c r="W21" i="11"/>
  <c r="C21"/>
  <c r="Z21"/>
  <c r="L20" i="13"/>
  <c r="Z20" i="11"/>
  <c r="C20"/>
  <c r="W20"/>
  <c r="R15" i="13"/>
  <c r="O15"/>
  <c r="M15"/>
  <c r="K15"/>
  <c r="U15"/>
  <c r="S15"/>
  <c r="T15"/>
  <c r="AD17"/>
  <c r="AC22"/>
  <c r="AC20"/>
  <c r="AC23"/>
  <c r="AC17"/>
  <c r="AH22"/>
  <c r="AH21"/>
  <c r="AE20"/>
  <c r="M23"/>
  <c r="R23"/>
  <c r="K23"/>
  <c r="U23"/>
  <c r="T23"/>
  <c r="O23"/>
  <c r="S23"/>
  <c r="L16"/>
  <c r="C16" i="11"/>
  <c r="Z16"/>
  <c r="W16"/>
  <c r="T16" i="13"/>
  <c r="U16"/>
  <c r="K16"/>
  <c r="S16"/>
  <c r="O16"/>
  <c r="R16"/>
  <c r="M16"/>
  <c r="AD23"/>
  <c r="AE17"/>
  <c r="AD22"/>
  <c r="AE21"/>
  <c r="AF20"/>
  <c r="L23"/>
  <c r="W23" i="11"/>
  <c r="C23"/>
  <c r="Z23"/>
  <c r="B16" i="12"/>
  <c r="Z17" i="11"/>
  <c r="W17"/>
  <c r="C17"/>
  <c r="L17" i="13"/>
  <c r="AF23"/>
  <c r="AF17"/>
  <c r="AE22"/>
  <c r="AG21"/>
  <c r="AG20"/>
  <c r="T21"/>
  <c r="S21"/>
  <c r="R21"/>
  <c r="U21"/>
  <c r="O21"/>
  <c r="M21"/>
  <c r="K21"/>
  <c r="N14" i="8"/>
  <c r="P14"/>
  <c r="O14"/>
  <c r="R16"/>
  <c r="AC12" i="13"/>
  <c r="AH12"/>
  <c r="AG12"/>
  <c r="AE12"/>
  <c r="AF12"/>
  <c r="R3" i="8"/>
  <c r="Q1"/>
  <c r="K12" i="13"/>
  <c r="O12"/>
  <c r="T12"/>
  <c r="M12"/>
  <c r="R12"/>
  <c r="S12"/>
  <c r="U12"/>
  <c r="F2" i="8"/>
  <c r="G1"/>
  <c r="I2" s="1"/>
  <c r="G2"/>
  <c r="C12" i="11"/>
  <c r="L12" i="13"/>
  <c r="Z12" i="11"/>
  <c r="W12"/>
  <c r="C22" i="9" l="1"/>
  <c r="A25"/>
  <c r="A30" i="10"/>
  <c r="C45" i="9"/>
  <c r="C38"/>
  <c r="A41" i="10"/>
  <c r="A49" i="9"/>
  <c r="C62"/>
  <c r="C61" i="10"/>
  <c r="C52"/>
  <c r="A54" i="9"/>
  <c r="C49" i="10"/>
  <c r="C52" i="9"/>
  <c r="C29"/>
  <c r="C58" i="10"/>
  <c r="C31" i="9"/>
  <c r="A54" i="10"/>
  <c r="C64"/>
  <c r="C16" i="9"/>
  <c r="A59" i="10"/>
  <c r="C57"/>
  <c r="C55" i="9"/>
  <c r="C50"/>
  <c r="C43" i="10"/>
  <c r="A38"/>
  <c r="C32"/>
  <c r="C27"/>
  <c r="C20"/>
  <c r="A18"/>
  <c r="A42" i="9"/>
  <c r="C54"/>
  <c r="C25"/>
  <c r="C54" i="10"/>
  <c r="A52"/>
  <c r="C1" i="9"/>
  <c r="A62"/>
  <c r="A56" i="10"/>
  <c r="C51"/>
  <c r="C47" i="9"/>
  <c r="A44"/>
  <c r="A35" i="10"/>
  <c r="C33"/>
  <c r="C27" i="9"/>
  <c r="C24"/>
  <c r="A19"/>
  <c r="C44" i="10"/>
  <c r="C56" i="9"/>
  <c r="A29" i="10"/>
  <c r="C35" i="9"/>
  <c r="A57" i="10"/>
  <c r="A1"/>
  <c r="A62"/>
  <c r="A60" i="9"/>
  <c r="A53" i="10"/>
  <c r="A46"/>
  <c r="A42"/>
  <c r="C35"/>
  <c r="A36" i="9"/>
  <c r="A28" i="10"/>
  <c r="A22"/>
  <c r="C19"/>
  <c r="C17"/>
  <c r="A31" i="9"/>
  <c r="A64" i="10"/>
  <c r="C59"/>
  <c r="C18" i="9"/>
  <c r="C1" i="10"/>
  <c r="A1" i="9"/>
  <c r="AJ15" i="6"/>
  <c r="Y15" s="1"/>
  <c r="C62" i="10"/>
  <c r="C58" i="9"/>
  <c r="A55"/>
  <c r="C45" i="10"/>
  <c r="C44" i="9"/>
  <c r="C39"/>
  <c r="A32" i="10"/>
  <c r="C28"/>
  <c r="C22"/>
  <c r="A17"/>
  <c r="C36" i="9"/>
  <c r="A63"/>
  <c r="A16"/>
  <c r="C18" i="10"/>
  <c r="C42"/>
  <c r="A43" i="9"/>
  <c r="A50"/>
  <c r="AF15" i="6"/>
  <c r="U15" s="1"/>
  <c r="A63" i="10"/>
  <c r="A58" i="9"/>
  <c r="C53" i="10"/>
  <c r="C47"/>
  <c r="A43"/>
  <c r="A37"/>
  <c r="C32" i="9"/>
  <c r="C25" i="10"/>
  <c r="A23" i="9"/>
  <c r="C38" i="10"/>
  <c r="A50"/>
  <c r="A61"/>
  <c r="C63"/>
  <c r="C41" i="9"/>
  <c r="A64"/>
  <c r="C59"/>
  <c r="C53"/>
  <c r="A45" i="10"/>
  <c r="C42" i="9"/>
  <c r="C37" i="10"/>
  <c r="C33" i="9"/>
  <c r="A26" i="10"/>
  <c r="A24" i="9"/>
  <c r="A38"/>
  <c r="C31" i="10"/>
  <c r="C64" i="9"/>
  <c r="C56" i="10"/>
  <c r="A53" i="9"/>
  <c r="A47" i="10"/>
  <c r="C40" i="9"/>
  <c r="A37"/>
  <c r="A31" i="10"/>
  <c r="C30" i="9"/>
  <c r="C23"/>
  <c r="C26"/>
  <c r="A51"/>
  <c r="C48" i="10"/>
  <c r="C50"/>
  <c r="C23"/>
  <c r="C60"/>
  <c r="AH15" i="6"/>
  <c r="W15" s="1"/>
  <c r="C60" i="9"/>
  <c r="A57"/>
  <c r="A51" i="10"/>
  <c r="C46"/>
  <c r="C40"/>
  <c r="C37" i="9"/>
  <c r="A33"/>
  <c r="C28"/>
  <c r="C21"/>
  <c r="A24" i="10"/>
  <c r="A46" i="9"/>
  <c r="A26"/>
  <c r="C24" i="10"/>
  <c r="AI15" i="6"/>
  <c r="X15" s="1"/>
  <c r="C34" i="10"/>
  <c r="A48"/>
  <c r="A45" i="9"/>
  <c r="AD15" i="6"/>
  <c r="S15" s="1"/>
  <c r="C61" i="9"/>
  <c r="C55" i="10"/>
  <c r="C51" i="9"/>
  <c r="A47"/>
  <c r="C41" i="10"/>
  <c r="C36"/>
  <c r="C34" i="9"/>
  <c r="A27" i="10"/>
  <c r="A20"/>
  <c r="A28" i="9"/>
  <c r="A40"/>
  <c r="A20"/>
  <c r="A59"/>
  <c r="A34"/>
  <c r="AE15" i="6"/>
  <c r="T15" s="1"/>
  <c r="A61" i="9"/>
  <c r="C57"/>
  <c r="C49"/>
  <c r="C48"/>
  <c r="A41"/>
  <c r="A36" i="10"/>
  <c r="A32" i="9"/>
  <c r="A27"/>
  <c r="A22"/>
  <c r="C43"/>
  <c r="C46"/>
  <c r="M12" i="6"/>
  <c r="A29" i="9"/>
  <c r="A23" i="10"/>
  <c r="AK15" i="6"/>
  <c r="Z15" s="1"/>
  <c r="C63" i="9"/>
  <c r="A55" i="10"/>
  <c r="A49"/>
  <c r="A44"/>
  <c r="A39"/>
  <c r="A34"/>
  <c r="C30"/>
  <c r="A25"/>
  <c r="A21" i="9"/>
  <c r="C21" i="10"/>
  <c r="A56" i="9"/>
  <c r="A33" i="10"/>
  <c r="A39" i="9"/>
  <c r="C39" i="10"/>
  <c r="A30" i="9"/>
  <c r="AG15" i="6"/>
  <c r="V15" s="1"/>
  <c r="AC15"/>
  <c r="R15" s="1"/>
  <c r="A60" i="10"/>
  <c r="A58"/>
  <c r="A52" i="9"/>
  <c r="A48"/>
  <c r="A40" i="10"/>
  <c r="A35" i="9"/>
  <c r="C29" i="10"/>
  <c r="C26"/>
  <c r="A21"/>
  <c r="N17" i="13"/>
  <c r="P17"/>
  <c r="P20"/>
  <c r="N20"/>
  <c r="D16"/>
  <c r="D21"/>
  <c r="D18"/>
  <c r="D15"/>
  <c r="D20"/>
  <c r="P23"/>
  <c r="N23"/>
  <c r="P15"/>
  <c r="N15"/>
  <c r="D23"/>
  <c r="D17"/>
  <c r="P16"/>
  <c r="N16"/>
  <c r="P19"/>
  <c r="N19"/>
  <c r="P21"/>
  <c r="N21"/>
  <c r="D19"/>
  <c r="D22"/>
  <c r="P18"/>
  <c r="N18"/>
  <c r="P22"/>
  <c r="N22"/>
  <c r="C20" i="9"/>
  <c r="A19" i="10"/>
  <c r="A18" i="9"/>
  <c r="C16" i="10"/>
  <c r="C17" i="9"/>
  <c r="A17"/>
  <c r="C19"/>
  <c r="A16" i="10"/>
  <c r="V12" i="13"/>
  <c r="D12"/>
  <c r="AE3" i="8"/>
  <c r="U1"/>
  <c r="X3"/>
  <c r="D3"/>
  <c r="AE1"/>
  <c r="AB1"/>
  <c r="AC1"/>
  <c r="U3"/>
  <c r="AB3"/>
  <c r="AC3"/>
  <c r="T3"/>
  <c r="Z3"/>
  <c r="V1"/>
  <c r="W3"/>
  <c r="D1"/>
  <c r="AD3"/>
  <c r="AA1"/>
  <c r="B1"/>
  <c r="Y3"/>
  <c r="Z1"/>
  <c r="X1"/>
  <c r="T1"/>
  <c r="AA3"/>
  <c r="W1"/>
  <c r="C1"/>
  <c r="AD1"/>
  <c r="Y1"/>
  <c r="V3"/>
  <c r="E3"/>
  <c r="P12" i="13"/>
  <c r="N12"/>
  <c r="AB15" i="6" l="1"/>
  <c r="Q15" s="1"/>
  <c r="AH14" i="13"/>
  <c r="AE14"/>
  <c r="AD14" l="1"/>
  <c r="AG14"/>
  <c r="AF14"/>
  <c r="AC14"/>
  <c r="M14" i="8" l="1"/>
  <c r="Q14" s="1"/>
  <c r="E16" l="1"/>
  <c r="D14" l="1"/>
  <c r="T14" l="1"/>
  <c r="B9" i="9" l="1"/>
  <c r="I37" i="5" l="1"/>
  <c r="AF37"/>
  <c r="AF26"/>
  <c r="AF28"/>
  <c r="AF41"/>
  <c r="AG26" l="1"/>
  <c r="S26"/>
  <c r="S28"/>
  <c r="AG28"/>
  <c r="AG37"/>
  <c r="S37"/>
  <c r="AG41"/>
  <c r="S41"/>
  <c r="F41" i="12" l="1"/>
  <c r="F37"/>
  <c r="AC26" i="5"/>
  <c r="F26" i="12"/>
  <c r="F28"/>
  <c r="I41" i="5" l="1"/>
  <c r="AF35"/>
  <c r="AF22"/>
  <c r="AF23"/>
  <c r="AF16"/>
  <c r="AF14"/>
  <c r="AF29"/>
  <c r="AF31"/>
  <c r="AF21"/>
  <c r="AF38"/>
  <c r="AF36"/>
  <c r="AF19"/>
  <c r="AF20"/>
  <c r="AF39"/>
  <c r="AF30"/>
  <c r="AF33"/>
  <c r="AF40"/>
  <c r="AF32"/>
  <c r="AF42"/>
  <c r="AF24"/>
  <c r="AF25"/>
  <c r="AF17"/>
  <c r="AF27"/>
  <c r="AF34"/>
  <c r="AF18"/>
  <c r="S18" l="1"/>
  <c r="AG18"/>
  <c r="U18" s="1"/>
  <c r="R18"/>
  <c r="R34"/>
  <c r="AG34"/>
  <c r="U34" s="1"/>
  <c r="S34"/>
  <c r="S27"/>
  <c r="R27"/>
  <c r="AG27"/>
  <c r="S17"/>
  <c r="AG17"/>
  <c r="AG25"/>
  <c r="U25" s="1"/>
  <c r="S25"/>
  <c r="R25"/>
  <c r="S24"/>
  <c r="AG24"/>
  <c r="U24" s="1"/>
  <c r="R24"/>
  <c r="S42"/>
  <c r="R42"/>
  <c r="AG42"/>
  <c r="U42" s="1"/>
  <c r="S32"/>
  <c r="AG32"/>
  <c r="U32" s="1"/>
  <c r="R32"/>
  <c r="S40"/>
  <c r="R40"/>
  <c r="AG40"/>
  <c r="U40" s="1"/>
  <c r="R33"/>
  <c r="S33"/>
  <c r="AG33"/>
  <c r="U33" s="1"/>
  <c r="R30"/>
  <c r="S30"/>
  <c r="AG30"/>
  <c r="U30" s="1"/>
  <c r="S39"/>
  <c r="R39"/>
  <c r="AG39"/>
  <c r="U39" s="1"/>
  <c r="S20"/>
  <c r="R20"/>
  <c r="AG20"/>
  <c r="U20" s="1"/>
  <c r="R19"/>
  <c r="AG19"/>
  <c r="U19" s="1"/>
  <c r="S19"/>
  <c r="R36"/>
  <c r="AG36"/>
  <c r="U36" s="1"/>
  <c r="S36"/>
  <c r="S38"/>
  <c r="R38"/>
  <c r="AG38"/>
  <c r="U38" s="1"/>
  <c r="R21"/>
  <c r="AG21"/>
  <c r="U21" s="1"/>
  <c r="S21"/>
  <c r="S31"/>
  <c r="R31"/>
  <c r="AG31"/>
  <c r="U31" s="1"/>
  <c r="R29"/>
  <c r="S29"/>
  <c r="AG29"/>
  <c r="U29" s="1"/>
  <c r="R14"/>
  <c r="S14"/>
  <c r="AG14"/>
  <c r="AG16"/>
  <c r="S16"/>
  <c r="AG23"/>
  <c r="S23"/>
  <c r="S22"/>
  <c r="AG22"/>
  <c r="U22" s="1"/>
  <c r="R22"/>
  <c r="S35"/>
  <c r="AG35"/>
  <c r="U35" s="1"/>
  <c r="R35"/>
  <c r="AN21" l="1"/>
  <c r="W21"/>
  <c r="F21" i="12"/>
  <c r="G21" i="6"/>
  <c r="W20" i="5"/>
  <c r="AN20"/>
  <c r="AN40"/>
  <c r="W40"/>
  <c r="E25" i="12"/>
  <c r="F25" i="6"/>
  <c r="AN18" i="5"/>
  <c r="W18"/>
  <c r="F23" i="12"/>
  <c r="F33" i="6"/>
  <c r="E33" i="12"/>
  <c r="G24" i="6"/>
  <c r="F24" i="12"/>
  <c r="E18"/>
  <c r="F18" i="6"/>
  <c r="W24" i="5"/>
  <c r="AN24"/>
  <c r="E34" i="12"/>
  <c r="F34" i="6"/>
  <c r="E40" i="12"/>
  <c r="F40" i="6"/>
  <c r="G22"/>
  <c r="F22" i="12"/>
  <c r="G19" i="6"/>
  <c r="F19" i="12"/>
  <c r="AN33" i="5"/>
  <c r="W33"/>
  <c r="F24" i="6"/>
  <c r="E24" i="12"/>
  <c r="W34" i="5"/>
  <c r="AN34"/>
  <c r="E19" i="12"/>
  <c r="F19" i="6"/>
  <c r="E30" i="12"/>
  <c r="F30" i="6"/>
  <c r="F42" i="12"/>
  <c r="G42" i="6"/>
  <c r="G34"/>
  <c r="F34" i="12"/>
  <c r="F20" i="6"/>
  <c r="E20" i="12"/>
  <c r="AN19" i="5"/>
  <c r="W19"/>
  <c r="E22" i="12"/>
  <c r="F22" i="6"/>
  <c r="E36" i="12"/>
  <c r="F36" i="6"/>
  <c r="F35" i="12"/>
  <c r="G35" i="6"/>
  <c r="F29" i="12"/>
  <c r="G29" i="6"/>
  <c r="AN36" i="5"/>
  <c r="W36"/>
  <c r="G30" i="6"/>
  <c r="F30" i="12"/>
  <c r="E42"/>
  <c r="F42" i="6"/>
  <c r="F27" i="12"/>
  <c r="G27" i="6"/>
  <c r="F16" i="12"/>
  <c r="F31" i="6"/>
  <c r="E31" i="12"/>
  <c r="W31" i="5"/>
  <c r="AN31"/>
  <c r="W29"/>
  <c r="AN29"/>
  <c r="F36" i="12"/>
  <c r="G36" i="6"/>
  <c r="W30" i="5"/>
  <c r="AN30"/>
  <c r="AN42"/>
  <c r="W42"/>
  <c r="AC27"/>
  <c r="E27" i="12"/>
  <c r="F27" i="6"/>
  <c r="F25" i="12"/>
  <c r="G25" i="6"/>
  <c r="G31"/>
  <c r="F31" i="12"/>
  <c r="G33" i="6"/>
  <c r="F33" i="12"/>
  <c r="F29" i="6"/>
  <c r="E29" i="12"/>
  <c r="F38"/>
  <c r="G38" i="6"/>
  <c r="F39" i="12"/>
  <c r="G39" i="6"/>
  <c r="G32"/>
  <c r="F32" i="12"/>
  <c r="G18" i="6"/>
  <c r="F18" i="12"/>
  <c r="AN22" i="5"/>
  <c r="W22"/>
  <c r="AN35"/>
  <c r="W35"/>
  <c r="F35" i="6"/>
  <c r="E35" i="12"/>
  <c r="F14" i="6"/>
  <c r="AC14" i="5"/>
  <c r="E14" i="12"/>
  <c r="F14"/>
  <c r="G14" i="6"/>
  <c r="F38"/>
  <c r="E38" i="12"/>
  <c r="E39"/>
  <c r="F39" i="6"/>
  <c r="AN32" i="5"/>
  <c r="W32"/>
  <c r="F17" i="12"/>
  <c r="W38" i="5"/>
  <c r="AN38"/>
  <c r="AN39"/>
  <c r="W39"/>
  <c r="E32" i="12"/>
  <c r="F32" i="6"/>
  <c r="E21" i="12"/>
  <c r="F21" i="6"/>
  <c r="F20" i="12"/>
  <c r="G20" i="6"/>
  <c r="F40" i="12"/>
  <c r="G40" i="6"/>
  <c r="AN25" i="5"/>
  <c r="W25"/>
  <c r="H32" i="12" l="1"/>
  <c r="X32" i="5"/>
  <c r="H18" i="12"/>
  <c r="X18" i="5"/>
  <c r="H21" i="12"/>
  <c r="X21" i="5"/>
  <c r="X25"/>
  <c r="H25" i="12"/>
  <c r="H34"/>
  <c r="X34" i="5"/>
  <c r="X20"/>
  <c r="H20" i="12"/>
  <c r="X30" i="5"/>
  <c r="H30" i="12"/>
  <c r="X35" i="5"/>
  <c r="H35" i="12"/>
  <c r="H42"/>
  <c r="X42" i="5"/>
  <c r="X22"/>
  <c r="H22" i="12"/>
  <c r="H40"/>
  <c r="X40" i="5"/>
  <c r="X36"/>
  <c r="H36" i="12"/>
  <c r="X19" i="5"/>
  <c r="H19" i="12"/>
  <c r="X33" i="5"/>
  <c r="H33" i="12"/>
  <c r="H38"/>
  <c r="X38" i="5"/>
  <c r="H39" i="12"/>
  <c r="X39" i="5"/>
  <c r="H31" i="12"/>
  <c r="X31" i="5"/>
  <c r="X29"/>
  <c r="H29" i="12"/>
  <c r="X24" i="5"/>
  <c r="H24" i="12"/>
  <c r="Z32" i="5" l="1"/>
  <c r="I32" i="12"/>
  <c r="L32" i="5"/>
  <c r="AM32"/>
  <c r="AC32"/>
  <c r="Z18"/>
  <c r="L18"/>
  <c r="I18" i="12"/>
  <c r="X17" i="5"/>
  <c r="AM18"/>
  <c r="I18"/>
  <c r="I19" s="1"/>
  <c r="I20" s="1"/>
  <c r="I21" s="1"/>
  <c r="I22" s="1"/>
  <c r="I23" s="1"/>
  <c r="I24" s="1"/>
  <c r="I25" s="1"/>
  <c r="X16"/>
  <c r="X15"/>
  <c r="AC18"/>
  <c r="I35" i="12"/>
  <c r="L35" i="5"/>
  <c r="Z35"/>
  <c r="AM35"/>
  <c r="AC35"/>
  <c r="X23"/>
  <c r="AM24"/>
  <c r="I24" i="12"/>
  <c r="Z24" i="5"/>
  <c r="L24"/>
  <c r="AC24"/>
  <c r="L33"/>
  <c r="I33" i="12"/>
  <c r="AM33" i="5"/>
  <c r="Z33"/>
  <c r="AC33"/>
  <c r="Z21"/>
  <c r="AM21"/>
  <c r="L21"/>
  <c r="I21" i="12"/>
  <c r="AC21" i="5"/>
  <c r="I30" i="12"/>
  <c r="AM30" i="5"/>
  <c r="L30"/>
  <c r="Z30"/>
  <c r="AC30"/>
  <c r="L42"/>
  <c r="I42" i="12"/>
  <c r="I42" i="5"/>
  <c r="X41"/>
  <c r="Z42"/>
  <c r="AM42"/>
  <c r="AC42"/>
  <c r="AM22"/>
  <c r="Z22"/>
  <c r="L22"/>
  <c r="I22" i="12"/>
  <c r="AC22" i="5"/>
  <c r="I25" i="12"/>
  <c r="L25" i="5"/>
  <c r="AM25"/>
  <c r="Z25"/>
  <c r="AC25"/>
  <c r="L38"/>
  <c r="I38" i="12"/>
  <c r="Z38" i="5"/>
  <c r="X37"/>
  <c r="I38"/>
  <c r="I39" s="1"/>
  <c r="I40" s="1"/>
  <c r="AM38"/>
  <c r="AC38"/>
  <c r="I19" i="12"/>
  <c r="Z19" i="5"/>
  <c r="L19"/>
  <c r="AM19"/>
  <c r="AC19"/>
  <c r="L39"/>
  <c r="I39" i="12"/>
  <c r="AM39" i="5"/>
  <c r="Z39"/>
  <c r="AC39"/>
  <c r="L31"/>
  <c r="Z31"/>
  <c r="AM31"/>
  <c r="I31" i="12"/>
  <c r="AC31" i="5"/>
  <c r="L40"/>
  <c r="AM40"/>
  <c r="Z40"/>
  <c r="I40" i="12"/>
  <c r="AC40" i="5"/>
  <c r="Z34"/>
  <c r="AM34"/>
  <c r="I34" i="12"/>
  <c r="L34" i="5"/>
  <c r="AC34"/>
  <c r="I29" i="12"/>
  <c r="X28" i="5"/>
  <c r="L29"/>
  <c r="I29"/>
  <c r="I30" s="1"/>
  <c r="I31" s="1"/>
  <c r="I32" s="1"/>
  <c r="I33" s="1"/>
  <c r="I34" s="1"/>
  <c r="I35" s="1"/>
  <c r="I36" s="1"/>
  <c r="O36" s="1"/>
  <c r="Z29"/>
  <c r="AM29"/>
  <c r="AC29"/>
  <c r="I36" i="12"/>
  <c r="AM36" i="5"/>
  <c r="Z36"/>
  <c r="L36"/>
  <c r="C36" i="6" s="1"/>
  <c r="AC36" i="5"/>
  <c r="L20"/>
  <c r="I20" i="12"/>
  <c r="AM20" i="5"/>
  <c r="Z20"/>
  <c r="AC20"/>
  <c r="E36" i="6" l="1"/>
  <c r="D36" i="12"/>
  <c r="C20" i="6"/>
  <c r="O20" i="5"/>
  <c r="C39" i="6"/>
  <c r="O39" i="5"/>
  <c r="AB24"/>
  <c r="AA24"/>
  <c r="AE73" i="10"/>
  <c r="U73"/>
  <c r="K73"/>
  <c r="S73"/>
  <c r="Y73"/>
  <c r="AA73"/>
  <c r="M73"/>
  <c r="Q73"/>
  <c r="AC73"/>
  <c r="W73"/>
  <c r="I73"/>
  <c r="O73"/>
  <c r="AM15" i="5"/>
  <c r="Z15"/>
  <c r="AO32" i="12"/>
  <c r="M32"/>
  <c r="C32"/>
  <c r="O32"/>
  <c r="AB20" i="5"/>
  <c r="AA20"/>
  <c r="AB29"/>
  <c r="AA29"/>
  <c r="C40" i="12"/>
  <c r="M40"/>
  <c r="O40"/>
  <c r="AO40"/>
  <c r="AB38" i="5"/>
  <c r="AA38"/>
  <c r="O30" i="12"/>
  <c r="C30"/>
  <c r="M30"/>
  <c r="AO30"/>
  <c r="C32" i="6"/>
  <c r="O32" i="5"/>
  <c r="I37" i="12"/>
  <c r="Z37" i="5"/>
  <c r="L37"/>
  <c r="AM37"/>
  <c r="AC37"/>
  <c r="AB22"/>
  <c r="AA22"/>
  <c r="C33" i="6"/>
  <c r="O33" i="5"/>
  <c r="AO35" i="12"/>
  <c r="C35"/>
  <c r="O35"/>
  <c r="M35"/>
  <c r="C40" i="6"/>
  <c r="O40" i="5"/>
  <c r="M21" i="12"/>
  <c r="AO21"/>
  <c r="C21"/>
  <c r="O21"/>
  <c r="M39"/>
  <c r="C39"/>
  <c r="O39"/>
  <c r="AO39"/>
  <c r="C22" i="6"/>
  <c r="O22" i="5"/>
  <c r="C30" i="6"/>
  <c r="O30" i="5"/>
  <c r="O33" i="12"/>
  <c r="M33"/>
  <c r="C33"/>
  <c r="AO33"/>
  <c r="C35" i="6"/>
  <c r="O35" i="5"/>
  <c r="Z28"/>
  <c r="I28" i="12"/>
  <c r="L28" i="5"/>
  <c r="AC28"/>
  <c r="AM28"/>
  <c r="C20" i="12"/>
  <c r="O20"/>
  <c r="M20"/>
  <c r="AO20"/>
  <c r="AB40" i="5"/>
  <c r="AA40"/>
  <c r="M22" i="12"/>
  <c r="O22"/>
  <c r="C22"/>
  <c r="AO22"/>
  <c r="AO29"/>
  <c r="O29"/>
  <c r="C29"/>
  <c r="M29"/>
  <c r="AB33" i="5"/>
  <c r="AA33"/>
  <c r="AB18"/>
  <c r="AA18"/>
  <c r="O29"/>
  <c r="C29" i="6"/>
  <c r="C31"/>
  <c r="O31" i="5"/>
  <c r="AB35"/>
  <c r="AA35"/>
  <c r="O34" i="12"/>
  <c r="C34"/>
  <c r="AO34"/>
  <c r="M34"/>
  <c r="AB36" i="5"/>
  <c r="AA36"/>
  <c r="C34" i="6"/>
  <c r="O34" i="5"/>
  <c r="AO19" i="12"/>
  <c r="C19"/>
  <c r="M19"/>
  <c r="O19"/>
  <c r="O25"/>
  <c r="N25" s="1"/>
  <c r="M25"/>
  <c r="C25"/>
  <c r="AO25"/>
  <c r="O42" i="5"/>
  <c r="C42" i="6"/>
  <c r="C18"/>
  <c r="O18" i="5"/>
  <c r="R14" i="8"/>
  <c r="L16" i="5"/>
  <c r="I16" i="12"/>
  <c r="O14" i="11"/>
  <c r="Z16" i="5"/>
  <c r="AM16"/>
  <c r="AC16"/>
  <c r="O24"/>
  <c r="C24" i="6"/>
  <c r="AO36" i="12"/>
  <c r="O36"/>
  <c r="N36" s="1"/>
  <c r="C36"/>
  <c r="M36"/>
  <c r="AB31" i="5"/>
  <c r="AA31"/>
  <c r="AO31" i="12"/>
  <c r="O31"/>
  <c r="N31" s="1"/>
  <c r="M31"/>
  <c r="C31"/>
  <c r="AB19" i="5"/>
  <c r="AA19"/>
  <c r="O25"/>
  <c r="C25" i="6"/>
  <c r="M42" i="12"/>
  <c r="M41" s="1"/>
  <c r="O42"/>
  <c r="C42"/>
  <c r="AO42"/>
  <c r="M18"/>
  <c r="O18"/>
  <c r="C18"/>
  <c r="AO18"/>
  <c r="C38" i="6"/>
  <c r="O38" i="5"/>
  <c r="AB32"/>
  <c r="AA32"/>
  <c r="AO38" i="12"/>
  <c r="M38"/>
  <c r="M37" s="1"/>
  <c r="C38"/>
  <c r="O38"/>
  <c r="AB39" i="5"/>
  <c r="AA39"/>
  <c r="AB34"/>
  <c r="AA34"/>
  <c r="AB30"/>
  <c r="AA30"/>
  <c r="C19" i="6"/>
  <c r="O19" i="5"/>
  <c r="AB21"/>
  <c r="AA21"/>
  <c r="I23" i="12"/>
  <c r="Z23" i="5"/>
  <c r="L23"/>
  <c r="AM23"/>
  <c r="AC23"/>
  <c r="AM17"/>
  <c r="I17" i="12"/>
  <c r="Z17" i="5"/>
  <c r="L17"/>
  <c r="AC17"/>
  <c r="AB25"/>
  <c r="AA25"/>
  <c r="AA23" s="1"/>
  <c r="AC41"/>
  <c r="AM41"/>
  <c r="Z41"/>
  <c r="I41" i="12"/>
  <c r="L41" i="5"/>
  <c r="AB42"/>
  <c r="AB41" s="1"/>
  <c r="AA42"/>
  <c r="AA41" s="1"/>
  <c r="O21"/>
  <c r="C21" i="6"/>
  <c r="M24" i="12"/>
  <c r="M23" s="1"/>
  <c r="O24"/>
  <c r="AO24"/>
  <c r="C24"/>
  <c r="N35" l="1"/>
  <c r="Y33"/>
  <c r="N21"/>
  <c r="N30"/>
  <c r="N22"/>
  <c r="N39"/>
  <c r="Y35"/>
  <c r="Y19"/>
  <c r="N40"/>
  <c r="AC11" i="5"/>
  <c r="Y34" i="12"/>
  <c r="Y21"/>
  <c r="Y32"/>
  <c r="W32" s="1"/>
  <c r="Y25"/>
  <c r="Y20"/>
  <c r="Y71" i="10"/>
  <c r="Y70" s="1"/>
  <c r="Y72"/>
  <c r="O17" i="5"/>
  <c r="C17" i="6"/>
  <c r="D25" i="12"/>
  <c r="E25" i="6"/>
  <c r="AA72" i="10"/>
  <c r="AA71"/>
  <c r="AA70" s="1"/>
  <c r="Y36" i="12"/>
  <c r="AA37" i="5"/>
  <c r="N32" i="12"/>
  <c r="E38" i="6"/>
  <c r="D38" i="12"/>
  <c r="E29" i="6"/>
  <c r="D29" i="12"/>
  <c r="E35" i="6"/>
  <c r="D35" i="12"/>
  <c r="D33"/>
  <c r="E33" i="6"/>
  <c r="M72" i="10"/>
  <c r="M71"/>
  <c r="M70" s="1"/>
  <c r="Q71"/>
  <c r="Q70" s="1"/>
  <c r="Q72"/>
  <c r="D20" i="12"/>
  <c r="E20" i="6"/>
  <c r="Y30" i="12"/>
  <c r="W34"/>
  <c r="X34"/>
  <c r="C28"/>
  <c r="J28"/>
  <c r="L28"/>
  <c r="AC71" i="10"/>
  <c r="AC70" s="1"/>
  <c r="AC72"/>
  <c r="Y39" i="12"/>
  <c r="AB28" i="5"/>
  <c r="X35" i="12"/>
  <c r="W35"/>
  <c r="W71" i="10"/>
  <c r="W70" s="1"/>
  <c r="W72"/>
  <c r="E39" i="6"/>
  <c r="D39" i="12"/>
  <c r="AO17"/>
  <c r="Y18"/>
  <c r="AO16"/>
  <c r="D21"/>
  <c r="E21" i="6"/>
  <c r="AB16" i="8"/>
  <c r="AB14" s="1"/>
  <c r="F14"/>
  <c r="Z16"/>
  <c r="Z14" s="1"/>
  <c r="AA16"/>
  <c r="AA14" s="1"/>
  <c r="AC16"/>
  <c r="AC14" s="1"/>
  <c r="AD16"/>
  <c r="AD14" s="1"/>
  <c r="Y16"/>
  <c r="Y14" s="1"/>
  <c r="Q18"/>
  <c r="H18" s="1"/>
  <c r="D16"/>
  <c r="D27" s="1"/>
  <c r="F15"/>
  <c r="T16"/>
  <c r="T27" s="1"/>
  <c r="W16"/>
  <c r="W14" s="1"/>
  <c r="G15"/>
  <c r="V16"/>
  <c r="V14" s="1"/>
  <c r="AE16"/>
  <c r="AE14" s="1"/>
  <c r="X16"/>
  <c r="X14" s="1"/>
  <c r="U16"/>
  <c r="U14" s="1"/>
  <c r="C28" i="6"/>
  <c r="O28" i="5"/>
  <c r="N38" i="12"/>
  <c r="O37"/>
  <c r="N37" s="1"/>
  <c r="AO41"/>
  <c r="Y42"/>
  <c r="C16"/>
  <c r="L16"/>
  <c r="J16"/>
  <c r="AO28"/>
  <c r="Y29"/>
  <c r="D22"/>
  <c r="E22" i="6"/>
  <c r="L37" i="12"/>
  <c r="J37"/>
  <c r="C37"/>
  <c r="I72" i="10"/>
  <c r="AE9" s="1"/>
  <c r="I71"/>
  <c r="I70" s="1"/>
  <c r="Y9" s="1"/>
  <c r="AA28" i="5"/>
  <c r="AB23"/>
  <c r="AB17"/>
  <c r="AB15"/>
  <c r="AB16"/>
  <c r="AB14" i="11" s="1"/>
  <c r="X33" i="12"/>
  <c r="W33"/>
  <c r="E19" i="6"/>
  <c r="D19" i="12"/>
  <c r="E34" i="6"/>
  <c r="D34" i="12"/>
  <c r="Y24"/>
  <c r="AO23"/>
  <c r="O41"/>
  <c r="N41" s="1"/>
  <c r="N42"/>
  <c r="W19"/>
  <c r="X19"/>
  <c r="C16" i="6"/>
  <c r="O16" i="5"/>
  <c r="E31" i="6"/>
  <c r="D31" i="12"/>
  <c r="D32"/>
  <c r="E32" i="6"/>
  <c r="O23" i="5"/>
  <c r="C23" i="6"/>
  <c r="M17" i="12"/>
  <c r="M16"/>
  <c r="C14" i="11"/>
  <c r="O24"/>
  <c r="L14" i="13"/>
  <c r="W14" i="11"/>
  <c r="N29" i="12"/>
  <c r="O28"/>
  <c r="N28" s="1"/>
  <c r="O71" i="10"/>
  <c r="O70" s="1"/>
  <c r="O72"/>
  <c r="AA17" i="5"/>
  <c r="Y22" i="12"/>
  <c r="Y31"/>
  <c r="N19"/>
  <c r="D18"/>
  <c r="E18" i="6"/>
  <c r="E30"/>
  <c r="D30" i="12"/>
  <c r="D40"/>
  <c r="E40" i="6"/>
  <c r="O37" i="5"/>
  <c r="C37" i="6"/>
  <c r="AE71" i="10"/>
  <c r="AE70" s="1"/>
  <c r="AE72"/>
  <c r="N34" i="12"/>
  <c r="E42" i="6"/>
  <c r="D42" i="12"/>
  <c r="N24"/>
  <c r="O23"/>
  <c r="N23" s="1"/>
  <c r="Y38"/>
  <c r="AO37"/>
  <c r="L23"/>
  <c r="K23" s="1"/>
  <c r="C23"/>
  <c r="J23"/>
  <c r="J41"/>
  <c r="C41"/>
  <c r="L41"/>
  <c r="N18"/>
  <c r="O17"/>
  <c r="O16"/>
  <c r="O41" i="5"/>
  <c r="C41" i="6"/>
  <c r="U72" i="10"/>
  <c r="U71"/>
  <c r="U70" s="1"/>
  <c r="M28" i="12"/>
  <c r="N20"/>
  <c r="N33"/>
  <c r="Y40"/>
  <c r="W21"/>
  <c r="X21"/>
  <c r="K71" i="10"/>
  <c r="K70" s="1"/>
  <c r="K72"/>
  <c r="AB37" i="5"/>
  <c r="J17" i="12"/>
  <c r="C17"/>
  <c r="L17"/>
  <c r="D24"/>
  <c r="E24" i="6"/>
  <c r="W25" i="12"/>
  <c r="X25"/>
  <c r="W20"/>
  <c r="X20"/>
  <c r="S71" i="10"/>
  <c r="S70" s="1"/>
  <c r="S72"/>
  <c r="X32" i="12" l="1"/>
  <c r="K16"/>
  <c r="G14" i="8"/>
  <c r="I15" s="1"/>
  <c r="Y37" i="12"/>
  <c r="K17"/>
  <c r="Y41"/>
  <c r="Y23"/>
  <c r="D37"/>
  <c r="E37" i="6"/>
  <c r="D23" i="12"/>
  <c r="E23" i="6"/>
  <c r="W24" i="12"/>
  <c r="X24"/>
  <c r="W42"/>
  <c r="X42"/>
  <c r="T35"/>
  <c r="U35"/>
  <c r="V35"/>
  <c r="E17" i="6"/>
  <c r="D17" i="12"/>
  <c r="X30"/>
  <c r="W30"/>
  <c r="X40"/>
  <c r="W40"/>
  <c r="AK14" i="13"/>
  <c r="S14" s="1"/>
  <c r="M27" s="1"/>
  <c r="AL14"/>
  <c r="M14" s="1"/>
  <c r="M28" s="1"/>
  <c r="V34" i="12"/>
  <c r="T34"/>
  <c r="U34"/>
  <c r="W31"/>
  <c r="X31"/>
  <c r="U19"/>
  <c r="T19"/>
  <c r="V19"/>
  <c r="O25" i="11"/>
  <c r="AA7"/>
  <c r="N14"/>
  <c r="N24" s="1"/>
  <c r="AB24"/>
  <c r="AB7" s="1"/>
  <c r="X29" i="12"/>
  <c r="W29"/>
  <c r="K41"/>
  <c r="Y28"/>
  <c r="C14" i="8"/>
  <c r="W23" i="12"/>
  <c r="X23"/>
  <c r="W22"/>
  <c r="X22"/>
  <c r="V25"/>
  <c r="T25"/>
  <c r="U25"/>
  <c r="V21"/>
  <c r="T21"/>
  <c r="U21"/>
  <c r="T20"/>
  <c r="V20"/>
  <c r="U20"/>
  <c r="D14" i="13"/>
  <c r="V14"/>
  <c r="L28"/>
  <c r="N17" i="12"/>
  <c r="Y17"/>
  <c r="T32"/>
  <c r="U32"/>
  <c r="V32"/>
  <c r="D16"/>
  <c r="E16" i="6"/>
  <c r="H14" i="8"/>
  <c r="V33" i="12"/>
  <c r="T33"/>
  <c r="U33"/>
  <c r="D22" i="8"/>
  <c r="D18" s="1"/>
  <c r="D23"/>
  <c r="W18" i="12"/>
  <c r="X18"/>
  <c r="K28"/>
  <c r="W41"/>
  <c r="X41"/>
  <c r="AO14" i="13"/>
  <c r="O14" s="1"/>
  <c r="AN14"/>
  <c r="U14" s="1"/>
  <c r="AD4" s="1"/>
  <c r="N16" i="12"/>
  <c r="E41" i="6"/>
  <c r="D41" i="12"/>
  <c r="D28"/>
  <c r="E28" i="6"/>
  <c r="K37" i="12"/>
  <c r="Y16"/>
  <c r="X38"/>
  <c r="W38"/>
  <c r="T22" i="8"/>
  <c r="T18" s="1"/>
  <c r="U27"/>
  <c r="T23"/>
  <c r="W36" i="12"/>
  <c r="X36"/>
  <c r="W37"/>
  <c r="X37"/>
  <c r="W39"/>
  <c r="X39"/>
  <c r="Z3" i="11" l="1"/>
  <c r="AA3" s="1"/>
  <c r="AD12" s="1"/>
  <c r="V23" i="12"/>
  <c r="U23"/>
  <c r="T23"/>
  <c r="U30"/>
  <c r="T30"/>
  <c r="V30"/>
  <c r="V15" i="13"/>
  <c r="V16" s="1"/>
  <c r="V17" s="1"/>
  <c r="V18" s="1"/>
  <c r="V19" s="1"/>
  <c r="V20" s="1"/>
  <c r="V21" s="1"/>
  <c r="V22" s="1"/>
  <c r="V23" s="1"/>
  <c r="I29" i="14" s="1"/>
  <c r="J29" s="1"/>
  <c r="K29" s="1"/>
  <c r="L29" s="1"/>
  <c r="V22" i="12"/>
  <c r="T22"/>
  <c r="U22"/>
  <c r="T24"/>
  <c r="V24"/>
  <c r="U24"/>
  <c r="U40"/>
  <c r="V40"/>
  <c r="T40"/>
  <c r="T42"/>
  <c r="V42"/>
  <c r="U42"/>
  <c r="U22" i="8"/>
  <c r="U18" s="1"/>
  <c r="V27"/>
  <c r="U23"/>
  <c r="T36" i="12"/>
  <c r="V36"/>
  <c r="U36"/>
  <c r="D33" i="14"/>
  <c r="L24" i="13"/>
  <c r="U39" i="12"/>
  <c r="T39"/>
  <c r="V39"/>
  <c r="X17"/>
  <c r="W17"/>
  <c r="L27" i="13"/>
  <c r="D32" i="14" s="1"/>
  <c r="N25" i="11"/>
  <c r="M24" i="13"/>
  <c r="O29"/>
  <c r="W28" i="12"/>
  <c r="X28"/>
  <c r="T37"/>
  <c r="U37"/>
  <c r="V37"/>
  <c r="N14" i="13"/>
  <c r="P14"/>
  <c r="O28"/>
  <c r="D26" i="8" a="1"/>
  <c r="D26" s="1"/>
  <c r="T26" a="1"/>
  <c r="T26" s="1"/>
  <c r="V18" i="12"/>
  <c r="T18"/>
  <c r="U18"/>
  <c r="X16"/>
  <c r="W16"/>
  <c r="T29"/>
  <c r="V29"/>
  <c r="U29"/>
  <c r="U38"/>
  <c r="T38"/>
  <c r="V38"/>
  <c r="T41"/>
  <c r="V41"/>
  <c r="U41"/>
  <c r="U31"/>
  <c r="T31"/>
  <c r="V31"/>
  <c r="AD21" i="11" l="1"/>
  <c r="AE20" s="1"/>
  <c r="M20" s="1"/>
  <c r="L20" s="1"/>
  <c r="AD23"/>
  <c r="AD15"/>
  <c r="AD22"/>
  <c r="AD17"/>
  <c r="AA27" i="5"/>
  <c r="AD14" i="11"/>
  <c r="AD18"/>
  <c r="I21" i="14"/>
  <c r="J21" s="1"/>
  <c r="K21" s="1"/>
  <c r="L21" s="1"/>
  <c r="AD16" i="11"/>
  <c r="AD19"/>
  <c r="I28" i="14"/>
  <c r="J28" s="1"/>
  <c r="K28" s="1"/>
  <c r="L28" s="1"/>
  <c r="AD20" i="11"/>
  <c r="AE19" s="1"/>
  <c r="M19" s="1"/>
  <c r="L19" s="1"/>
  <c r="I35" i="14"/>
  <c r="J35" s="1"/>
  <c r="K35" s="1"/>
  <c r="L35" s="1"/>
  <c r="I11"/>
  <c r="J11" s="1"/>
  <c r="K11" s="1"/>
  <c r="L11" s="1"/>
  <c r="D21" i="8"/>
  <c r="I25" i="14"/>
  <c r="J25" s="1"/>
  <c r="K25" s="1"/>
  <c r="L25" s="1"/>
  <c r="I8"/>
  <c r="J8" s="1"/>
  <c r="K8" s="1"/>
  <c r="L8" s="1"/>
  <c r="I15"/>
  <c r="J15" s="1"/>
  <c r="K15" s="1"/>
  <c r="L15" s="1"/>
  <c r="V22" i="8"/>
  <c r="V18" s="1"/>
  <c r="W27"/>
  <c r="V23"/>
  <c r="I37" i="14"/>
  <c r="J37" s="1"/>
  <c r="K37" s="1"/>
  <c r="L37" s="1"/>
  <c r="I42"/>
  <c r="J42" s="1"/>
  <c r="K42" s="1"/>
  <c r="L42" s="1"/>
  <c r="I18"/>
  <c r="J18" s="1"/>
  <c r="K18" s="1"/>
  <c r="L18" s="1"/>
  <c r="I32"/>
  <c r="J32" s="1"/>
  <c r="K32" s="1"/>
  <c r="L32" s="1"/>
  <c r="I33"/>
  <c r="J33" s="1"/>
  <c r="K33" s="1"/>
  <c r="L33" s="1"/>
  <c r="I31"/>
  <c r="J31" s="1"/>
  <c r="K31" s="1"/>
  <c r="L31" s="1"/>
  <c r="AA26" i="5"/>
  <c r="AA15"/>
  <c r="AA16"/>
  <c r="I14" i="14"/>
  <c r="J14" s="1"/>
  <c r="K14" s="1"/>
  <c r="L14" s="1"/>
  <c r="I23"/>
  <c r="J23" s="1"/>
  <c r="K23" s="1"/>
  <c r="L23" s="1"/>
  <c r="I41"/>
  <c r="J41" s="1"/>
  <c r="K41" s="1"/>
  <c r="L41" s="1"/>
  <c r="I9"/>
  <c r="J9" s="1"/>
  <c r="K9" s="1"/>
  <c r="L9" s="1"/>
  <c r="I12"/>
  <c r="J12" s="1"/>
  <c r="K12" s="1"/>
  <c r="L12" s="1"/>
  <c r="AD27" i="13"/>
  <c r="F33" i="14"/>
  <c r="AC27" i="13"/>
  <c r="N28"/>
  <c r="O24"/>
  <c r="P24"/>
  <c r="F34" i="14" s="1"/>
  <c r="AD6" i="13"/>
  <c r="AE6" s="1"/>
  <c r="U26" i="8" a="1"/>
  <c r="U26" s="1"/>
  <c r="T21"/>
  <c r="V28" i="12"/>
  <c r="U28"/>
  <c r="T28"/>
  <c r="T16"/>
  <c r="V16"/>
  <c r="U16"/>
  <c r="I16" i="14"/>
  <c r="J16" s="1"/>
  <c r="K16" s="1"/>
  <c r="L16" s="1"/>
  <c r="I22"/>
  <c r="J22" s="1"/>
  <c r="K22" s="1"/>
  <c r="L22" s="1"/>
  <c r="I44"/>
  <c r="J44" s="1"/>
  <c r="K44" s="1"/>
  <c r="L44" s="1"/>
  <c r="I27"/>
  <c r="J27" s="1"/>
  <c r="K27" s="1"/>
  <c r="L27" s="1"/>
  <c r="I46"/>
  <c r="J46" s="1"/>
  <c r="K46" s="1"/>
  <c r="L46" s="1"/>
  <c r="I43"/>
  <c r="J43" s="1"/>
  <c r="K43" s="1"/>
  <c r="L43" s="1"/>
  <c r="AE23" i="11"/>
  <c r="M23" s="1"/>
  <c r="L23" s="1"/>
  <c r="AE22"/>
  <c r="M22" s="1"/>
  <c r="L22" s="1"/>
  <c r="I34" i="14"/>
  <c r="J34" s="1"/>
  <c r="K34" s="1"/>
  <c r="L34" s="1"/>
  <c r="I6"/>
  <c r="J6" s="1"/>
  <c r="K6" s="1"/>
  <c r="L6" s="1"/>
  <c r="I36"/>
  <c r="J36" s="1"/>
  <c r="K36" s="1"/>
  <c r="L36" s="1"/>
  <c r="I38"/>
  <c r="J38" s="1"/>
  <c r="K38" s="1"/>
  <c r="L38" s="1"/>
  <c r="I13"/>
  <c r="J13" s="1"/>
  <c r="K13" s="1"/>
  <c r="L13" s="1"/>
  <c r="I26"/>
  <c r="J26" s="1"/>
  <c r="K26" s="1"/>
  <c r="L26" s="1"/>
  <c r="I24"/>
  <c r="J24" s="1"/>
  <c r="K24" s="1"/>
  <c r="L24" s="1"/>
  <c r="I20"/>
  <c r="J20" s="1"/>
  <c r="K20" s="1"/>
  <c r="L20" s="1"/>
  <c r="I39"/>
  <c r="J39" s="1"/>
  <c r="K39" s="1"/>
  <c r="L39" s="1"/>
  <c r="I10"/>
  <c r="J10" s="1"/>
  <c r="K10" s="1"/>
  <c r="L10" s="1"/>
  <c r="I30"/>
  <c r="J30" s="1"/>
  <c r="K30" s="1"/>
  <c r="L30" s="1"/>
  <c r="I7"/>
  <c r="J7" s="1"/>
  <c r="K7" s="1"/>
  <c r="L7" s="1"/>
  <c r="I40"/>
  <c r="J40" s="1"/>
  <c r="K40" s="1"/>
  <c r="L40" s="1"/>
  <c r="T17" i="12"/>
  <c r="V17"/>
  <c r="U17"/>
  <c r="I45" i="14"/>
  <c r="J45" s="1"/>
  <c r="K45" s="1"/>
  <c r="L45" s="1"/>
  <c r="I19"/>
  <c r="J19" s="1"/>
  <c r="K19" s="1"/>
  <c r="L19" s="1"/>
  <c r="I17"/>
  <c r="J17" s="1"/>
  <c r="K17" s="1"/>
  <c r="L17" s="1"/>
  <c r="AE12" i="11" l="1"/>
  <c r="M12" s="1"/>
  <c r="L12" s="1"/>
  <c r="AE16"/>
  <c r="M16" s="1"/>
  <c r="L16" s="1"/>
  <c r="AE18"/>
  <c r="M18" s="1"/>
  <c r="L18" s="1"/>
  <c r="AE21"/>
  <c r="M21" s="1"/>
  <c r="L21" s="1"/>
  <c r="AE15"/>
  <c r="M15" s="1"/>
  <c r="L15" s="1"/>
  <c r="AE17"/>
  <c r="M17" s="1"/>
  <c r="L17" s="1"/>
  <c r="E34" i="14"/>
  <c r="E33"/>
  <c r="N24" i="13"/>
  <c r="AA14" i="11"/>
  <c r="AM14" i="13"/>
  <c r="T14" s="1"/>
  <c r="AD3" s="1"/>
  <c r="AD2" s="1"/>
  <c r="B14" i="8"/>
  <c r="AJ14" i="13"/>
  <c r="R14" s="1"/>
  <c r="M26" s="1"/>
  <c r="W22" i="8"/>
  <c r="W18" s="1"/>
  <c r="W23"/>
  <c r="X27"/>
  <c r="AE4" i="13"/>
  <c r="O27" s="1"/>
  <c r="U21" i="8"/>
  <c r="V26" a="1"/>
  <c r="V26" s="1"/>
  <c r="D25" l="1" a="1"/>
  <c r="D25" s="1"/>
  <c r="T25" a="1"/>
  <c r="T25" s="1"/>
  <c r="W26" a="1"/>
  <c r="W26" s="1"/>
  <c r="V21"/>
  <c r="M25" i="13"/>
  <c r="Y27" i="8"/>
  <c r="X23"/>
  <c r="X22"/>
  <c r="X18" s="1"/>
  <c r="AA24" i="11"/>
  <c r="Z14"/>
  <c r="Z24" s="1"/>
  <c r="AE14" s="1"/>
  <c r="M14" s="1"/>
  <c r="N27" i="13"/>
  <c r="E32" i="14" s="1"/>
  <c r="F32"/>
  <c r="T24" i="8" l="1"/>
  <c r="T19" s="1"/>
  <c r="U25" a="1"/>
  <c r="U25" s="1"/>
  <c r="T20"/>
  <c r="W21"/>
  <c r="X26" a="1"/>
  <c r="X26" s="1"/>
  <c r="Y23"/>
  <c r="Y22"/>
  <c r="Y18" s="1"/>
  <c r="Z27"/>
  <c r="D20"/>
  <c r="D24"/>
  <c r="D19" s="1"/>
  <c r="AE3" i="13"/>
  <c r="M24" i="11"/>
  <c r="L14"/>
  <c r="L24" s="1"/>
  <c r="U24" i="8" l="1"/>
  <c r="U19" s="1"/>
  <c r="U20"/>
  <c r="V25" a="1"/>
  <c r="V25" s="1"/>
  <c r="X21"/>
  <c r="Y26" a="1"/>
  <c r="Y26" s="1"/>
  <c r="L10" i="11"/>
  <c r="M10" i="13" s="1"/>
  <c r="L25" i="11"/>
  <c r="L25" i="13"/>
  <c r="D30" i="14" s="1"/>
  <c r="Z23" i="8"/>
  <c r="AA27"/>
  <c r="Z22"/>
  <c r="Z18" s="1"/>
  <c r="M10" i="11"/>
  <c r="N10" i="13" s="1"/>
  <c r="L26"/>
  <c r="M25" i="11"/>
  <c r="G9" s="1"/>
  <c r="O26" i="13"/>
  <c r="AE2"/>
  <c r="Y21" i="8" l="1"/>
  <c r="Z26" a="1"/>
  <c r="Z26" s="1"/>
  <c r="V24"/>
  <c r="V19" s="1"/>
  <c r="W25" a="1"/>
  <c r="W25" s="1"/>
  <c r="V20"/>
  <c r="D31" i="14"/>
  <c r="AC26" i="13"/>
  <c r="AD26"/>
  <c r="F31" i="14"/>
  <c r="N26" i="13"/>
  <c r="E31" i="14" s="1"/>
  <c r="O25" i="13"/>
  <c r="AB27" i="8"/>
  <c r="AA23"/>
  <c r="AA22"/>
  <c r="AA18" s="1"/>
  <c r="Z21" l="1"/>
  <c r="AA26" a="1"/>
  <c r="AA26" s="1"/>
  <c r="AC27"/>
  <c r="AB22"/>
  <c r="AB18" s="1"/>
  <c r="AB23"/>
  <c r="W24"/>
  <c r="W19" s="1"/>
  <c r="W20"/>
  <c r="X25" a="1"/>
  <c r="X25" s="1"/>
  <c r="N25" i="13"/>
  <c r="E30" i="14" s="1"/>
  <c r="F30"/>
  <c r="AC22" i="8" l="1"/>
  <c r="AC18" s="1"/>
  <c r="AD27"/>
  <c r="AC23"/>
  <c r="AA21"/>
  <c r="AB26" a="1"/>
  <c r="AB26" s="1"/>
  <c r="X20"/>
  <c r="Y25" a="1"/>
  <c r="Y25" s="1"/>
  <c r="X24"/>
  <c r="X19" s="1"/>
  <c r="AD22" l="1"/>
  <c r="AD18" s="1"/>
  <c r="AE27"/>
  <c r="AD23"/>
  <c r="AB21"/>
  <c r="AC26" a="1"/>
  <c r="AC26" s="1"/>
  <c r="Y20"/>
  <c r="Z25" a="1"/>
  <c r="Z25" s="1"/>
  <c r="Y24"/>
  <c r="Y19" s="1"/>
  <c r="AE22" l="1"/>
  <c r="AE18" s="1"/>
  <c r="AF27"/>
  <c r="AE23"/>
  <c r="J10" i="13" s="1"/>
  <c r="G10" s="1"/>
  <c r="J10" i="8"/>
  <c r="AD26" a="1"/>
  <c r="AD26" s="1"/>
  <c r="AC21"/>
  <c r="Z20"/>
  <c r="AA25" a="1"/>
  <c r="AA25" s="1"/>
  <c r="Z24"/>
  <c r="Z19" s="1"/>
  <c r="AD21" l="1"/>
  <c r="AE26" a="1"/>
  <c r="AE26" s="1"/>
  <c r="AE21" s="1"/>
  <c r="AA24"/>
  <c r="AA19" s="1"/>
  <c r="AA20"/>
  <c r="AB25" a="1"/>
  <c r="AB25" s="1"/>
  <c r="AB24" l="1"/>
  <c r="AB19" s="1"/>
  <c r="AB20"/>
  <c r="AC25" a="1"/>
  <c r="AC25" s="1"/>
  <c r="AC24" l="1"/>
  <c r="AC19" s="1"/>
  <c r="AD25" a="1"/>
  <c r="AD25" s="1"/>
  <c r="AC20"/>
  <c r="AD24" l="1"/>
  <c r="AD19" s="1"/>
  <c r="AE25" a="1"/>
  <c r="AE25" s="1"/>
  <c r="AD20"/>
  <c r="AE24" l="1"/>
  <c r="AE20"/>
  <c r="AF25"/>
  <c r="AF24" l="1"/>
  <c r="AF26" s="1"/>
  <c r="AE19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/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<sst xmlns="http://schemas.openxmlformats.org/spreadsheetml/2006/main" count="1219" uniqueCount="498">
  <si>
    <t>PM</t>
  </si>
  <si>
    <t>Licitado</t>
  </si>
  <si>
    <t>Fundo amarelo: células para preencher</t>
  </si>
  <si>
    <t>Fundo azul: células para seleção de opções</t>
  </si>
  <si>
    <t>BM</t>
  </si>
  <si>
    <t>A. DOCUMENTAÇÃO DA PROPOSTA</t>
  </si>
  <si>
    <t>Sub-Itens de Investimento</t>
  </si>
  <si>
    <t>Itens de Investimento</t>
  </si>
  <si>
    <t>Unidades habitacionais</t>
  </si>
  <si>
    <t>Equipamentos comunitários</t>
  </si>
  <si>
    <t>Pavimentação</t>
  </si>
  <si>
    <t xml:space="preserve">Drenagem </t>
  </si>
  <si>
    <t>Abastecimento de água</t>
  </si>
  <si>
    <t>Esgotamento sanitário</t>
  </si>
  <si>
    <t>Energia elétrica e iluminação pública</t>
  </si>
  <si>
    <t>Coleta e tratamento de resíduos sólidos</t>
  </si>
  <si>
    <t xml:space="preserve">Contenção e estabilização de encostas </t>
  </si>
  <si>
    <t>Regularização fundiária</t>
  </si>
  <si>
    <t>Aquisição de terreno</t>
  </si>
  <si>
    <t>Aquisição de equipamentos e insumos</t>
  </si>
  <si>
    <t>Elaboração de estudos e projetos</t>
  </si>
  <si>
    <t>Instrumentos e ações em planejamento e gestão pública</t>
  </si>
  <si>
    <t>Ações complementares às obras</t>
  </si>
  <si>
    <t>Gerenciamento</t>
  </si>
  <si>
    <t>Trabalho social</t>
  </si>
  <si>
    <t>Dados do Contrato (Inicial)</t>
  </si>
  <si>
    <t>Aquisição</t>
  </si>
  <si>
    <t>un</t>
  </si>
  <si>
    <t>Convivência comunitária, assistência social e/ou comunitária</t>
  </si>
  <si>
    <t>m²</t>
  </si>
  <si>
    <t>Capeamento de vias</t>
  </si>
  <si>
    <t xml:space="preserve">Obras de microdrenagem </t>
  </si>
  <si>
    <t>m</t>
  </si>
  <si>
    <t>Captação subterrânea</t>
  </si>
  <si>
    <t>m³/s</t>
  </si>
  <si>
    <t>Ligações domiciliares e/ou intradomiciliares</t>
  </si>
  <si>
    <t>Iluminação pública - luminárias</t>
  </si>
  <si>
    <t xml:space="preserve">Acondicionamento </t>
  </si>
  <si>
    <t>Estabilização de taludes</t>
  </si>
  <si>
    <t>Desapropriacões/Indenizações</t>
  </si>
  <si>
    <t>Avaliação pós intervenção</t>
  </si>
  <si>
    <t>%CT</t>
  </si>
  <si>
    <t>Projeto de Trabalho Social Preliminar</t>
  </si>
  <si>
    <t>nº fam</t>
  </si>
  <si>
    <t>Fonte de recursos:</t>
  </si>
  <si>
    <t>Construção</t>
  </si>
  <si>
    <t>Educação e cultura</t>
  </si>
  <si>
    <t>Recapeamento de vias</t>
  </si>
  <si>
    <t>Desassoreamento de cursos de água</t>
  </si>
  <si>
    <t>Captação superficial</t>
  </si>
  <si>
    <t>Rede coletora e/ou condominial</t>
  </si>
  <si>
    <t>Ligações domiciliares</t>
  </si>
  <si>
    <t>Aterro sanitário e/ou disposição final</t>
  </si>
  <si>
    <t>m³</t>
  </si>
  <si>
    <t>Obras complementares a ações de redução de risco e/ou contenções</t>
  </si>
  <si>
    <t>Projeto de Regularização Fundiária</t>
  </si>
  <si>
    <t>Benfeitorias</t>
  </si>
  <si>
    <t>Demolições</t>
  </si>
  <si>
    <t>Projeto de Trabalho Social</t>
  </si>
  <si>
    <t>Proponente/Tomador:</t>
  </si>
  <si>
    <t>Reforma e/ou melhoria</t>
  </si>
  <si>
    <t>Esportes</t>
  </si>
  <si>
    <t>Obras de artes especiais</t>
  </si>
  <si>
    <t>Canalização de cursos de água</t>
  </si>
  <si>
    <t>Estação de bombeamento de água bruta</t>
  </si>
  <si>
    <t>Coletor tronco e/ou interceptores</t>
  </si>
  <si>
    <t xml:space="preserve">Linhas de distribuição - baixa tensão </t>
  </si>
  <si>
    <t>Erradicação de lixões</t>
  </si>
  <si>
    <t>Plano de Reassentamento e medidas compensatórias</t>
  </si>
  <si>
    <t>Plano de Desenvolvimento Socioterritorial</t>
  </si>
  <si>
    <t>Município/UF:</t>
  </si>
  <si>
    <t>Lazer e turismo</t>
  </si>
  <si>
    <t>Pavimentação de calçadas</t>
  </si>
  <si>
    <t>Recomposição de vegetação ciliar, renaturalização de cursos de água ou restauração de margens</t>
  </si>
  <si>
    <t>Adução</t>
  </si>
  <si>
    <t>Emissário</t>
  </si>
  <si>
    <t xml:space="preserve">Linhas de transmissão - alta tensão </t>
  </si>
  <si>
    <t>Sistema de coleta seletiva tradicional, transporte e/ou equipamentos</t>
  </si>
  <si>
    <t>Plano de Gestão Condominial</t>
  </si>
  <si>
    <t>Nº da Operação (0000000-00):</t>
  </si>
  <si>
    <t>Saúde</t>
  </si>
  <si>
    <t>Pavimentação de vias</t>
  </si>
  <si>
    <t>Reservatório de amortecimento de cheias</t>
  </si>
  <si>
    <t>Estação de Tratamento de Água (ETA)</t>
  </si>
  <si>
    <t>Estação Elevatória</t>
  </si>
  <si>
    <t xml:space="preserve">Tratamento local </t>
  </si>
  <si>
    <t>Segurança pública</t>
  </si>
  <si>
    <t>Sinalização</t>
  </si>
  <si>
    <t>Estação de Bombeamento</t>
  </si>
  <si>
    <t>Estação de bombeamento de água tratada</t>
  </si>
  <si>
    <t>Estação de Tratamento de Esgoto (ETE)</t>
  </si>
  <si>
    <t xml:space="preserve">Usinas de reciclagem </t>
  </si>
  <si>
    <t>Linha de recalque</t>
  </si>
  <si>
    <t>Sistema simplificado de tratamento</t>
  </si>
  <si>
    <t>Valor de Contrapartida Contratada (R$):</t>
  </si>
  <si>
    <t>Reservação</t>
  </si>
  <si>
    <t>Unidades sanitárias</t>
  </si>
  <si>
    <t>% mínimo de Contrapartida:</t>
  </si>
  <si>
    <t>Rede de distribuição</t>
  </si>
  <si>
    <t>R$ mínimo de Contrapartida (se houver):</t>
  </si>
  <si>
    <t>% máximo de Contrapartida:</t>
  </si>
  <si>
    <t>Sistema simplificado de abastecimento</t>
  </si>
  <si>
    <t>Dados do Empreendimento e Orçamento</t>
  </si>
  <si>
    <t>Nome/apelido:</t>
  </si>
  <si>
    <t>Descrição do Objeto do Lote / CTEF:</t>
  </si>
  <si>
    <t>Regime previdenciário previsto para a obra:</t>
  </si>
  <si>
    <t>Data base do Orçamento:</t>
  </si>
  <si>
    <t>Responsável pelo Orçamento</t>
  </si>
  <si>
    <t>Nome:</t>
  </si>
  <si>
    <t>CREA/CAU:</t>
  </si>
  <si>
    <t>ART/RRT:</t>
  </si>
  <si>
    <t>Data do preenchimento:</t>
  </si>
  <si>
    <t>Responsável pelo Tomador (Prefeito, no caso de Municípios)</t>
  </si>
  <si>
    <t>Cargo:</t>
  </si>
  <si>
    <t>B. RESULTADO DO PROCESSO LICITATÓRIO</t>
  </si>
  <si>
    <t>Licitação</t>
  </si>
  <si>
    <t>Data de emissão dos documentos de licitação:</t>
  </si>
  <si>
    <t>Nº do CTEF (contrato com empresa):</t>
  </si>
  <si>
    <t>Nome da empresa:</t>
  </si>
  <si>
    <t>CNPJ da empresa:</t>
  </si>
  <si>
    <t>Regime de execução do CTEF:</t>
  </si>
  <si>
    <t>Data base do CTEF:</t>
  </si>
  <si>
    <t>C. ACOMPANHAMENTO DO EMPREENDIMENTO</t>
  </si>
  <si>
    <t>Dados da obra</t>
  </si>
  <si>
    <t>Data do Início da Obra:</t>
  </si>
  <si>
    <t>Data de fechamento do RRE:</t>
  </si>
  <si>
    <t>Responsável pela Fiscalização</t>
  </si>
  <si>
    <t>Profissão:</t>
  </si>
  <si>
    <t>CREA/CAU (para obras/projetos):</t>
  </si>
  <si>
    <t>ART/RRT (para obras/projetos):</t>
  </si>
  <si>
    <t>D. ACOMPANHAMENTO CAIXA</t>
  </si>
  <si>
    <t>Responsável Gerencial</t>
  </si>
  <si>
    <t>Função:</t>
  </si>
  <si>
    <t>Novidades da Versão</t>
  </si>
  <si>
    <t>V3.0.0</t>
  </si>
  <si>
    <t>GERAL</t>
  </si>
  <si>
    <t>Lançamento: Adequação à Portaria 424/2016. Acompanhamento por Eventos.</t>
  </si>
  <si>
    <t>MIN</t>
  </si>
  <si>
    <t>MED</t>
  </si>
  <si>
    <t>MAX</t>
  </si>
  <si>
    <t>Grau de Sigilo</t>
  </si>
  <si>
    <t>Construção e Reforma de Edifícios</t>
  </si>
  <si>
    <t>AC</t>
  </si>
  <si>
    <t>#PUBLICO</t>
  </si>
  <si>
    <t>SG</t>
  </si>
  <si>
    <t>R</t>
  </si>
  <si>
    <t>Nº OPERAÇÃO</t>
  </si>
  <si>
    <t>PROPONENTE / TOMADOR</t>
  </si>
  <si>
    <t>DF</t>
  </si>
  <si>
    <t>L</t>
  </si>
  <si>
    <t>BDI PAD</t>
  </si>
  <si>
    <t>APELIDO DO EMPREENDIMENTO / DESCRIÇÃO DO LOTE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</si>
  <si>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</si>
  <si>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</si>
  <si>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Sobre a base de cálculo, definir a respectiva alíquota do ISS (entre 2% e 5%):</t>
  </si>
  <si>
    <t>Construção de Redes de Abastecimento de Água, Coleta de Esgoto</t>
  </si>
  <si>
    <t>BDI 1</t>
  </si>
  <si>
    <t>TIPO DE OBRA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</si>
  <si>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</si>
  <si>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</si>
  <si>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</si>
  <si>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</si>
  <si>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</si>
  <si>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</si>
  <si>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</si>
  <si>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</si>
  <si>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-</t>
  </si>
  <si>
    <t>Obras Portuárias, Marítimas e Fluviais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</si>
  <si>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</si>
  <si>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</si>
  <si>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</si>
  <si>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</si>
  <si>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</si>
  <si>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</si>
  <si>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</si>
  <si>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COM desoneração</t>
  </si>
  <si>
    <t>BDI DES</t>
  </si>
  <si>
    <t>Fornecimento de Materiais e Equipamentos (aquisição indireta - em conjunto com licitação de obras)</t>
  </si>
  <si>
    <t>Os valores de BDI foram calculados com o emprego da fórmula:</t>
  </si>
  <si>
    <t>BDI =</t>
  </si>
  <si>
    <t xml:space="preserve"> - 1</t>
  </si>
  <si>
    <t>(1-CP-ISS-CRPB)</t>
  </si>
  <si>
    <t>Fornecimento de Materiais e Equipamentos (aquisição direta)</t>
  </si>
  <si>
    <t>Estudos e Projetos, Planos e Gerenciamento e outros correlatos</t>
  </si>
  <si>
    <t>K1</t>
  </si>
  <si>
    <t>K2</t>
  </si>
  <si>
    <t>K3</t>
  </si>
  <si>
    <t>Observações:</t>
  </si>
  <si>
    <t>Local</t>
  </si>
  <si>
    <t>Data</t>
  </si>
  <si>
    <t>Responsável Técnico</t>
  </si>
  <si>
    <t>BDI 2</t>
  </si>
  <si>
    <t>BDI 3</t>
  </si>
  <si>
    <t>PO - PLANILHA ORÇAMENTÁRIA</t>
  </si>
  <si>
    <t>LOTE</t>
  </si>
  <si>
    <t>Meta</t>
  </si>
  <si>
    <t>Nível 2</t>
  </si>
  <si>
    <t>Nível 3</t>
  </si>
  <si>
    <t>Nível 4</t>
  </si>
  <si>
    <t>Serviço</t>
  </si>
  <si>
    <t>Arredondamento</t>
  </si>
  <si>
    <t>Nmax</t>
  </si>
  <si>
    <t>APELIDO DO EMPREENDIMENTO</t>
  </si>
  <si>
    <t>Quantidade</t>
  </si>
  <si>
    <t>LOCALIDADE SINAPI</t>
  </si>
  <si>
    <t>DATA BASE</t>
  </si>
  <si>
    <t>Custo Unitáro</t>
  </si>
  <si>
    <t>QUANTIDADES: ACOMP. POR BM</t>
  </si>
  <si>
    <t>PREÇO UNITÁRIO LICITADO</t>
  </si>
  <si>
    <t>FILTRO</t>
  </si>
  <si>
    <t>RECURSO</t>
  </si>
  <si>
    <t>SGL RECURSO</t>
  </si>
  <si>
    <t>BDI</t>
  </si>
  <si>
    <t>Preço Unitário</t>
  </si>
  <si>
    <t>ERRO GERAL</t>
  </si>
  <si>
    <t>Preço Total</t>
  </si>
  <si>
    <t>Valores não Arredondados</t>
  </si>
  <si>
    <t>↓</t>
  </si>
  <si>
    <t>Nível E</t>
  </si>
  <si>
    <t>Save Nivel</t>
  </si>
  <si>
    <t>Nível C</t>
  </si>
  <si>
    <t>Altura</t>
  </si>
  <si>
    <t>n1</t>
  </si>
  <si>
    <t>n2</t>
  </si>
  <si>
    <t>n3</t>
  </si>
  <si>
    <t>n4</t>
  </si>
  <si>
    <t>n5</t>
  </si>
  <si>
    <t>Czero</t>
  </si>
  <si>
    <t>Cnível</t>
  </si>
  <si>
    <t>Nível</t>
  </si>
  <si>
    <t>Nível Corrigido</t>
  </si>
  <si>
    <t>Item</t>
  </si>
  <si>
    <t>Fonte</t>
  </si>
  <si>
    <t>Código</t>
  </si>
  <si>
    <t>Descrição</t>
  </si>
  <si>
    <t>Unidade</t>
  </si>
  <si>
    <t>Preço Unitário (com BDI) (R$)</t>
  </si>
  <si>
    <t>Preço Total
(R$)</t>
  </si>
  <si>
    <t>Contrapartida (R$)</t>
  </si>
  <si>
    <t>Outros (R$)</t>
  </si>
  <si>
    <t>Erro de Dados</t>
  </si>
  <si>
    <t>Lista Crono</t>
  </si>
  <si>
    <t>Concatenação Fonte-Código</t>
  </si>
  <si>
    <t>BancoDesloc</t>
  </si>
  <si>
    <t>Preço Total
Licit. (R$)</t>
  </si>
  <si>
    <t>RA</t>
  </si>
  <si>
    <t>F</t>
  </si>
  <si>
    <t>SINAPI</t>
  </si>
  <si>
    <t>Encargos sociais:</t>
  </si>
  <si>
    <t>Para elaboração deste orçamento, foram utilizados os encargos sociais do SINAPI para a Unidade da Federação indicada.</t>
  </si>
  <si>
    <t>Siglas da Composição do Investimento: RA - Rateio proporcional entre Repasse e Contrapartida; RP - 100% Repasse; CP - 100% Contrapartida; OU - 100% Outros.</t>
  </si>
  <si>
    <t>Preços dos serviços por frente</t>
  </si>
  <si>
    <t>Mês do cronograma</t>
  </si>
  <si>
    <t>Número da Medição</t>
  </si>
  <si>
    <t>Empty</t>
  </si>
  <si>
    <t>.</t>
  </si>
  <si>
    <t>Nº AGRUPADOR DE EVENTOS</t>
  </si>
  <si>
    <t>FRENTES DE OBRA:</t>
  </si>
  <si>
    <t>AUTOEVENTO</t>
  </si>
  <si>
    <t>Memória de Cálculo</t>
  </si>
  <si>
    <t>Nº</t>
  </si>
  <si>
    <t># Evento</t>
  </si>
  <si>
    <t>Agrupador de Eventos</t>
  </si>
  <si>
    <t>TOTAL FINANC. POR FRENTE (R$):</t>
  </si>
  <si>
    <t>AGRUPADORES DE EVENTOS</t>
  </si>
  <si>
    <t>1. Selecione abaixo a forma de definição dos agrupadores de eventos:</t>
  </si>
  <si>
    <t>Nº do Evento</t>
  </si>
  <si>
    <t>Título do Evento</t>
  </si>
  <si>
    <t>Valor Total dos Eventos (R$)</t>
  </si>
  <si>
    <t>Administração Local</t>
  </si>
  <si>
    <t>% Período:</t>
  </si>
  <si>
    <t>Níveis a Exibir no Cronograma:</t>
  </si>
  <si>
    <t>PROPONENTE TOMADOR</t>
  </si>
  <si>
    <t>APELIDO EMPREENDIMENTO</t>
  </si>
  <si>
    <t>Falta distribuir:</t>
  </si>
  <si>
    <t>Valor (R$)</t>
  </si>
  <si>
    <t>Parcelas:</t>
  </si>
  <si>
    <t>Item CRONO</t>
  </si>
  <si>
    <t>OU</t>
  </si>
  <si>
    <t>Linha PO
Linha QCI
Total Adm Local</t>
  </si>
  <si>
    <t>Linhas a somar</t>
  </si>
  <si>
    <t>#</t>
  </si>
  <si>
    <t>%:</t>
  </si>
  <si>
    <t>Período:</t>
  </si>
  <si>
    <t>Contrapartida:</t>
  </si>
  <si>
    <t>Outros:</t>
  </si>
  <si>
    <t>Investimento:</t>
  </si>
  <si>
    <t>Acumulado:</t>
  </si>
  <si>
    <t>CRONOGRAMA PREVISTO PLE</t>
  </si>
  <si>
    <t>1. Digite nas células em amarelo o número do período em que os eventos serão concluídos:</t>
  </si>
  <si>
    <t>Filtro</t>
  </si>
  <si>
    <t>Título dos Eventos</t>
  </si>
  <si>
    <t>Informe abaixo o NÚMERO DO PERÍODO em que os eventos serão concluídos</t>
  </si>
  <si>
    <t>PLE - PLANILHA DE LEVANTAMENTO DE EVENTOS</t>
  </si>
  <si>
    <t>Medição:</t>
  </si>
  <si>
    <t>% Realizado Período.:</t>
  </si>
  <si>
    <t>% Realizado Acum.:</t>
  </si>
  <si>
    <t>Informe abaixo o NÚMERO DA MEDIÇÃO em que os eventos foram concluídos</t>
  </si>
  <si>
    <t>Data das Medições</t>
  </si>
  <si>
    <t>Medições</t>
  </si>
  <si>
    <t>%</t>
  </si>
  <si>
    <t>R$</t>
  </si>
  <si>
    <t>Responsável Técnico pela Fiscalização</t>
  </si>
  <si>
    <t>QCI - Quadro de Composição do Investimento</t>
  </si>
  <si>
    <t>% Maior:</t>
  </si>
  <si>
    <t>% Rateio CP Fin:</t>
  </si>
  <si>
    <t>MUNICÍPIO / UF</t>
  </si>
  <si>
    <t>VALORES CONTRATADOS (R$):</t>
  </si>
  <si>
    <t>CONTRAPARTIDA</t>
  </si>
  <si>
    <t>INVESTIMENTO</t>
  </si>
  <si>
    <t>% CP Min Prog:</t>
  </si>
  <si>
    <t>% CP Absoluta:</t>
  </si>
  <si>
    <t>% CP Max Rep:</t>
  </si>
  <si>
    <t>Saldo a Reprogramar</t>
  </si>
  <si>
    <t>Ordem Meta</t>
  </si>
  <si>
    <t>Arred</t>
  </si>
  <si>
    <t>Repasse (R$)</t>
  </si>
  <si>
    <t>Proporcional</t>
  </si>
  <si>
    <t>Busca</t>
  </si>
  <si>
    <t>Item de Investimento</t>
  </si>
  <si>
    <t>Subitem de Investimento</t>
  </si>
  <si>
    <t>Descrição da Meta</t>
  </si>
  <si>
    <t>Unid.</t>
  </si>
  <si>
    <t>Lote de Licitação / nº do CTEF</t>
  </si>
  <si>
    <t>Contrapartida Financeira (R$)</t>
  </si>
  <si>
    <t>Investimento (R$)</t>
  </si>
  <si>
    <t>Divisão do Investimento</t>
  </si>
  <si>
    <t>TR$</t>
  </si>
  <si>
    <t>TOTAL</t>
  </si>
  <si>
    <t>T%</t>
  </si>
  <si>
    <t>Representante Tomador</t>
  </si>
  <si>
    <t>Modo CAIXA</t>
  </si>
  <si>
    <t>INÍCIO DE OBRA</t>
  </si>
  <si>
    <t xml:space="preserve">Regime </t>
  </si>
  <si>
    <t>Fórmula CopMed</t>
  </si>
  <si>
    <t>Nº CTEF</t>
  </si>
  <si>
    <t>EMPRESA EXECUTORA</t>
  </si>
  <si>
    <t>CNPJ</t>
  </si>
  <si>
    <t>PERÍODO DA MEDIÇÃO</t>
  </si>
  <si>
    <t>Nº MEDIÇÃO</t>
  </si>
  <si>
    <t>ARREDMED</t>
  </si>
  <si>
    <t>Anexo</t>
  </si>
  <si>
    <t>Datas das Medições</t>
  </si>
  <si>
    <t>Orçamento Contratado</t>
  </si>
  <si>
    <t>Evolução Financeira (R$)</t>
  </si>
  <si>
    <t>Quadro de Glosas</t>
  </si>
  <si>
    <t>Acum. Anterior</t>
  </si>
  <si>
    <t>Período</t>
  </si>
  <si>
    <t>Acum. Incluindo o Período</t>
  </si>
  <si>
    <t>Valor Total Glosado (R$)</t>
  </si>
  <si>
    <t>Motivo da Glosa</t>
  </si>
  <si>
    <t>Valor Total Medido (R$)</t>
  </si>
  <si>
    <t>TOTAL:</t>
  </si>
  <si>
    <t>Observações</t>
  </si>
  <si>
    <t>Profissional CAIXA:</t>
  </si>
  <si>
    <t>Matrícula</t>
  </si>
  <si>
    <t>Acum. Previsto</t>
  </si>
  <si>
    <t>Acum. Chegada</t>
  </si>
  <si>
    <t>Outros</t>
  </si>
  <si>
    <t>Nº RRE</t>
  </si>
  <si>
    <t>Investimento</t>
  </si>
  <si>
    <t>Situação do TC/CR:</t>
  </si>
  <si>
    <t>Percentual previsto em:</t>
  </si>
  <si>
    <t>Lista CTEF</t>
  </si>
  <si>
    <t>PLE</t>
  </si>
  <si>
    <t>Acumulado Período Anterior</t>
  </si>
  <si>
    <t>Acumulado incluindo o Período</t>
  </si>
  <si>
    <t>Linha
PO</t>
  </si>
  <si>
    <t>BM / PLE nº</t>
  </si>
  <si>
    <t>Valor Total (R$)</t>
  </si>
  <si>
    <t>Acum. Período Anterior - CP</t>
  </si>
  <si>
    <t>Acum. Período Anterior - Outros</t>
  </si>
  <si>
    <t>No Período</t>
  </si>
  <si>
    <t>Acum. Incluindo Período - CP</t>
  </si>
  <si>
    <t>Acum. Incluindo Período - Outros</t>
  </si>
  <si>
    <t>Execução Física Acum.</t>
  </si>
  <si>
    <t>(%)</t>
  </si>
  <si>
    <t>Anterior (R$)</t>
  </si>
  <si>
    <t>Acumulado (R$)</t>
  </si>
  <si>
    <t>Max CP/OU Ant.</t>
  </si>
  <si>
    <t>Max CP/OU Acum.</t>
  </si>
  <si>
    <t>Contrapartida</t>
  </si>
  <si>
    <t># PÚBLICO</t>
  </si>
  <si>
    <t>Resumo de Valores por CTEF:</t>
  </si>
  <si>
    <t>CTEF:</t>
  </si>
  <si>
    <t>Valor Vigente (R$)</t>
  </si>
  <si>
    <t>Valor desta Medição (R$)</t>
  </si>
  <si>
    <t>Valor Acumulado (R$)</t>
  </si>
  <si>
    <t>Ofício n°:</t>
  </si>
  <si>
    <t>À</t>
  </si>
  <si>
    <t>CAIXA ECONÔMICA FEDERAL</t>
  </si>
  <si>
    <t>Assunto:</t>
  </si>
  <si>
    <t>REF:</t>
  </si>
  <si>
    <t>Objeto:</t>
  </si>
  <si>
    <t>Proponente / Tomador:</t>
  </si>
  <si>
    <t>Valores Vigentes do TC/CR</t>
  </si>
  <si>
    <t>Valores Medidos Acumulados</t>
  </si>
  <si>
    <t>Contrapartida Financeira:</t>
  </si>
  <si>
    <t>Execução Física:</t>
  </si>
  <si>
    <t>Atenciosamente,</t>
  </si>
  <si>
    <t>DADOS DO CONTRATO</t>
  </si>
  <si>
    <t>NOVIDADES DA VERSÃO</t>
  </si>
  <si>
    <t>LEGENDA:</t>
  </si>
  <si>
    <t>Fundo azul: navegação entre abas</t>
  </si>
  <si>
    <t>Fundo laranja: execução de macro</t>
  </si>
  <si>
    <r>
      <t xml:space="preserve">Cores das </t>
    </r>
    <r>
      <rPr>
        <b/>
        <sz val="10"/>
        <rFont val="Arial"/>
        <family val="2"/>
      </rPr>
      <t>células</t>
    </r>
    <r>
      <rPr>
        <sz val="10"/>
        <rFont val="Arial"/>
        <family val="2"/>
      </rPr>
      <t>:</t>
    </r>
  </si>
  <si>
    <r>
      <t xml:space="preserve">Cores dos </t>
    </r>
    <r>
      <rPr>
        <b/>
        <sz val="10"/>
        <rFont val="Arial"/>
        <family val="2"/>
      </rPr>
      <t>botões</t>
    </r>
    <r>
      <rPr>
        <sz val="10"/>
        <rFont val="Arial"/>
        <family val="2"/>
      </rPr>
      <t>:</t>
    </r>
  </si>
  <si>
    <t>Proposto</t>
  </si>
  <si>
    <t>Automática, conforme os agrupadores Nível 2 do Orçamento</t>
  </si>
  <si>
    <t>(SELECIONAR)</t>
  </si>
  <si>
    <t>GIGOV</t>
  </si>
  <si>
    <t>Lista CTEFs</t>
  </si>
  <si>
    <t>V3.0.1</t>
  </si>
  <si>
    <t>PO</t>
  </si>
  <si>
    <t>Preço Unitário Edital (R$)</t>
  </si>
  <si>
    <t>Ajustes de formatações.</t>
  </si>
  <si>
    <t>Correção da aplicação do BDI não desonerado.</t>
  </si>
  <si>
    <t>Inclusão de coluna exclusiva "Preço Unitário Edital", para o Modo 'Orçamento Licitado'.</t>
  </si>
  <si>
    <t>Custo Unitário Referência (R$)</t>
  </si>
  <si>
    <t>V3.0.2</t>
  </si>
  <si>
    <t>CRONOGRAMA</t>
  </si>
  <si>
    <t>QCI</t>
  </si>
  <si>
    <t>Correção na formulação do total por Repasse, CP e Outros.</t>
  </si>
  <si>
    <t>Correção na formulação do arredondamento no rateio dos valores do QCI.</t>
  </si>
  <si>
    <t>Correção na formulação do total acumulado por Repasse, CP e Outros</t>
  </si>
  <si>
    <t>RRE</t>
  </si>
  <si>
    <t>ORÇAMENTO</t>
  </si>
  <si>
    <t>Ampliada obtenção de dados da Planilha Referência de 20.000 para 65.536 linhas.</t>
  </si>
  <si>
    <t>Correção do Problema de Guias ocultas no BROFFICE.</t>
  </si>
  <si>
    <t>V3.0.3</t>
  </si>
  <si>
    <t>CÁLCULO</t>
  </si>
  <si>
    <t>Corrigida lentidão e travamento ao incluir e excluir frentes.</t>
  </si>
  <si>
    <t>V3.0.4</t>
  </si>
  <si>
    <t>Correção da CPRB que exibia 4,5% mesmo quando não desonerado.</t>
  </si>
  <si>
    <t>Correção da distribuição de Repasse, CP e Outros para as metas manuais.</t>
  </si>
  <si>
    <t>Adicionado botão para adotar a CP do QCI como CP do contrato (zera saldo a reprogramar de CP).</t>
  </si>
  <si>
    <t>V3.0.5</t>
  </si>
  <si>
    <t>Corrigido modo de Cálculo da Planilha para Automático.</t>
  </si>
  <si>
    <t>v3.0.6</t>
  </si>
  <si>
    <t>Arredondamento das frentes:</t>
  </si>
  <si>
    <t>V3.0.6</t>
  </si>
  <si>
    <t>Nº do TransfereGOV (000000):</t>
  </si>
  <si>
    <t>Nº TransfereGOV</t>
  </si>
  <si>
    <t>Adicionado modo de arredondamento para compatibilidade com o TransfereGOV, altera na aba DADOS</t>
  </si>
  <si>
    <t>A planilha passará a ser disponibilizada com o formato .xlsm. Deve ser usado arquivo referência 1.9 ou superior, também no formato .xlsm</t>
  </si>
  <si>
    <t>Nº TRANSFEREGOV</t>
  </si>
  <si>
    <t>Nº TGOV</t>
  </si>
  <si>
    <t>MARCO AURÉLIO RABELO GOMES</t>
  </si>
  <si>
    <t>PREFEITO MUNICIPAL</t>
  </si>
  <si>
    <t>VINÍCIUS HENRIQUE ALVES</t>
  </si>
  <si>
    <t>253.246/D</t>
  </si>
  <si>
    <t>PAINS/MG</t>
  </si>
  <si>
    <t>965783/2024</t>
  </si>
  <si>
    <t>17405-2024</t>
  </si>
  <si>
    <t>OGU</t>
  </si>
  <si>
    <t>DESONERADO</t>
  </si>
  <si>
    <t>RECAPEAMENTO DE VIA PÚBLICA</t>
  </si>
  <si>
    <t>RECAPEAMENDO DA ESTRADA MUNICIPAL SEBASTIÃO MANECA</t>
  </si>
  <si>
    <t>103689</t>
  </si>
  <si>
    <t>SETOP</t>
  </si>
  <si>
    <t>ED-50392</t>
  </si>
  <si>
    <t>95996</t>
  </si>
  <si>
    <t>ED-7623</t>
  </si>
  <si>
    <t>95426</t>
  </si>
  <si>
    <t>Composição</t>
  </si>
  <si>
    <t>CO-01</t>
  </si>
  <si>
    <t>CO-03</t>
  </si>
  <si>
    <t>3,0 X 1,5 = 4,5</t>
  </si>
  <si>
    <t>102331</t>
  </si>
  <si>
    <t>CO-04</t>
  </si>
  <si>
    <t>1</t>
  </si>
  <si>
    <t>8</t>
  </si>
  <si>
    <t>4</t>
  </si>
  <si>
    <t>Tradicional</t>
  </si>
  <si>
    <t>ED-50155</t>
  </si>
  <si>
    <t>ED-16348</t>
  </si>
  <si>
    <t>ED-50137</t>
  </si>
  <si>
    <t>ED-50276</t>
  </si>
  <si>
    <t>55</t>
  </si>
  <si>
    <t>Em Análise</t>
  </si>
  <si>
    <t>5283,75</t>
  </si>
  <si>
    <t>102512</t>
  </si>
  <si>
    <t>90776</t>
  </si>
  <si>
    <t>90778</t>
  </si>
  <si>
    <t>MUNICÍPIO DE PAINS</t>
  </si>
  <si>
    <t>CO-05</t>
  </si>
  <si>
    <t>01/2024</t>
  </si>
  <si>
    <t>MG20243487432</t>
  </si>
  <si>
    <t>4316,56 X 0,03 = 129,50</t>
  </si>
  <si>
    <t>4316,56</t>
  </si>
  <si>
    <t>0,0005 X 4316,56 X 199 = 429,49</t>
  </si>
  <si>
    <t>4699,71 X 0,02 = 86,33</t>
  </si>
  <si>
    <t>86,33 X 35 = 3021,55</t>
  </si>
  <si>
    <t>129,50 X 35 = 4532,50</t>
  </si>
  <si>
    <t>1+1 = 2</t>
  </si>
  <si>
    <t>2 X 18 X 2,5 = 90</t>
  </si>
  <si>
    <t>2 X 13,33 = 26,66</t>
  </si>
  <si>
    <t>550</t>
  </si>
</sst>
</file>

<file path=xl/styles.xml><?xml version="1.0" encoding="utf-8"?>
<styleSheet xmlns="http://schemas.openxmlformats.org/spreadsheetml/2006/main">
  <numFmts count="24">
    <numFmt numFmtId="43" formatCode="_-* #,##0.00_-;\-* #,##0.00_-;_-* &quot;-&quot;??_-;_-@_-"/>
    <numFmt numFmtId="164" formatCode="_(&quot;R$ &quot;* #,##0.00_);_(&quot;R$ &quot;* \(#,##0.00\);_(&quot;R$ &quot;* \-??_);_(@_)"/>
    <numFmt numFmtId="165" formatCode="_-* #,##0.00_-;\-* #,##0.00_-;_-* \-??_-;_-@_-"/>
    <numFmt numFmtId="166" formatCode="mm\-yyyy"/>
    <numFmt numFmtId="167" formatCode="General;General"/>
    <numFmt numFmtId="168" formatCode="dddd&quot;, &quot;mmmm\ dd&quot;, &quot;yyyy"/>
    <numFmt numFmtId="169" formatCode="dd&quot; de &quot;mmmm&quot; de &quot;yyyy"/>
    <numFmt numFmtId="170" formatCode="mmm\-yy;@"/>
    <numFmt numFmtId="171" formatCode="_(* #,##0.00_);_(* \(#,##0.00\);_(* \-??_);_(@_)"/>
    <numFmt numFmtId="172" formatCode="0\."/>
    <numFmt numFmtId="173" formatCode="_(\ #,##0.00_);_(&quot; (&quot;#,##0.00\);_(&quot; -&quot;??_);_(@_)"/>
    <numFmt numFmtId="174" formatCode="mm/yy"/>
    <numFmt numFmtId="175" formatCode="General;;"/>
    <numFmt numFmtId="176" formatCode="&quot;Medição &quot;0"/>
    <numFmt numFmtId="177" formatCode="_(#,##0.00_);_(* \(#,##0.00\);_(* \-??_);_(@_)"/>
    <numFmt numFmtId="178" formatCode="_-#,##0.00_-;\-#,##0.00_-;_-&quot; -&quot;??_-;_-@_-"/>
    <numFmt numFmtId="179" formatCode="##\."/>
    <numFmt numFmtId="180" formatCode="_-&quot;R$ &quot;* #,##0.00_-;&quot;-R$ &quot;* #,##0.00_-;_-&quot;R$ &quot;* \-??_-;_-@_-"/>
    <numFmt numFmtId="181" formatCode="&quot;( &quot;0.00%&quot; )&quot;"/>
    <numFmt numFmtId="182" formatCode="dd/mm/yy;@"/>
    <numFmt numFmtId="183" formatCode="&quot;Medição &quot;##"/>
    <numFmt numFmtId="184" formatCode="#,##0.00_ ;\-#,##0.00\ "/>
    <numFmt numFmtId="185" formatCode="_(* #,##0.00_);_(* \(#,##0.00\);;_(@_)"/>
    <numFmt numFmtId="186" formatCode="[$-F800]dddd\,\ mmmm\ dd\,\ yyyy"/>
  </numFmts>
  <fonts count="62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9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b/>
      <sz val="11"/>
      <name val="Arial"/>
      <family val="2"/>
    </font>
    <font>
      <b/>
      <sz val="13"/>
      <name val="Arial"/>
      <family val="2"/>
    </font>
    <font>
      <b/>
      <sz val="18"/>
      <name val="Arial"/>
      <family val="2"/>
    </font>
    <font>
      <b/>
      <sz val="11"/>
      <color indexed="10"/>
      <name val="Arial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color indexed="8"/>
      <name val="Calibri"/>
      <family val="2"/>
    </font>
    <font>
      <b/>
      <sz val="14"/>
      <color indexed="8"/>
      <name val="Calibri"/>
      <family val="2"/>
    </font>
    <font>
      <u/>
      <sz val="11"/>
      <color indexed="8"/>
      <name val="Calibri"/>
      <family val="2"/>
    </font>
    <font>
      <b/>
      <sz val="10"/>
      <color indexed="12"/>
      <name val="Arial"/>
      <family val="2"/>
    </font>
    <font>
      <sz val="11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14"/>
      <color indexed="9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name val="Calibri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Calibri"/>
      <family val="2"/>
    </font>
    <font>
      <b/>
      <sz val="7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2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name val="Arial Narrow"/>
      <family val="2"/>
    </font>
    <font>
      <sz val="11"/>
      <color indexed="10"/>
      <name val="Arial"/>
      <family val="2"/>
    </font>
    <font>
      <b/>
      <i/>
      <sz val="10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color indexed="9"/>
      <name val="Arial"/>
      <family val="2"/>
    </font>
    <font>
      <b/>
      <sz val="12"/>
      <color indexed="10"/>
      <name val="Arial"/>
      <family val="2"/>
    </font>
    <font>
      <b/>
      <sz val="8"/>
      <color indexed="10"/>
      <name val="Calibri"/>
      <family val="2"/>
    </font>
    <font>
      <b/>
      <sz val="11"/>
      <color indexed="10"/>
      <name val="Calibri"/>
      <family val="2"/>
    </font>
    <font>
      <sz val="10"/>
      <color indexed="44"/>
      <name val="Arial"/>
      <family val="2"/>
    </font>
    <font>
      <u/>
      <sz val="10"/>
      <color theme="10"/>
      <name val="Arial"/>
      <family val="2"/>
    </font>
    <font>
      <sz val="8"/>
      <color rgb="FF000000"/>
      <name val="Segoe UI"/>
      <family val="2"/>
    </font>
  </fonts>
  <fills count="3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31"/>
        <bgColor indexed="42"/>
      </patternFill>
    </fill>
    <fill>
      <patternFill patternType="solid">
        <fgColor indexed="23"/>
        <bgColor indexed="55"/>
      </patternFill>
    </fill>
    <fill>
      <patternFill patternType="solid">
        <fgColor indexed="44"/>
        <bgColor indexed="22"/>
      </patternFill>
    </fill>
    <fill>
      <patternFill patternType="solid">
        <fgColor indexed="4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4"/>
        <bgColor indexed="26"/>
      </patternFill>
    </fill>
    <fill>
      <patternFill patternType="lightUp"/>
    </fill>
    <fill>
      <patternFill patternType="lightUp">
        <fgColor indexed="22"/>
      </patternFill>
    </fill>
    <fill>
      <patternFill patternType="lightUp">
        <bgColor indexed="42"/>
      </patternFill>
    </fill>
    <fill>
      <patternFill patternType="lightUp">
        <fgColor indexed="31"/>
      </patternFill>
    </fill>
  </fills>
  <borders count="1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55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5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55"/>
      </top>
      <bottom/>
      <diagonal/>
    </border>
    <border>
      <left style="thin">
        <color indexed="8"/>
      </left>
      <right style="hair">
        <color indexed="8"/>
      </right>
      <top style="hair">
        <color indexed="55"/>
      </top>
      <bottom/>
      <diagonal/>
    </border>
    <border>
      <left style="hair">
        <color indexed="8"/>
      </left>
      <right style="thin">
        <color indexed="8"/>
      </right>
      <top style="hair">
        <color indexed="55"/>
      </top>
      <bottom/>
      <diagonal/>
    </border>
    <border>
      <left style="medium">
        <color indexed="64"/>
      </left>
      <right style="hair">
        <color indexed="8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23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11" borderId="1" applyNumberFormat="0" applyAlignment="0" applyProtection="0"/>
    <xf numFmtId="0" fontId="5" fillId="12" borderId="2" applyNumberFormat="0" applyAlignment="0" applyProtection="0"/>
    <xf numFmtId="0" fontId="6" fillId="0" borderId="3" applyNumberFormat="0" applyFill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7" fillId="3" borderId="1" applyNumberFormat="0" applyAlignment="0" applyProtection="0"/>
    <xf numFmtId="0" fontId="60" fillId="0" borderId="0" applyNumberFormat="0" applyFill="0" applyBorder="0" applyAlignment="0" applyProtection="0"/>
    <xf numFmtId="180" fontId="52" fillId="0" borderId="0" applyFill="0" applyBorder="0" applyAlignment="0" applyProtection="0"/>
    <xf numFmtId="164" fontId="52" fillId="0" borderId="0" applyFill="0" applyBorder="0" applyAlignment="0" applyProtection="0"/>
    <xf numFmtId="0" fontId="52" fillId="0" borderId="0"/>
    <xf numFmtId="0" fontId="1" fillId="0" borderId="0"/>
    <xf numFmtId="0" fontId="8" fillId="0" borderId="0"/>
    <xf numFmtId="0" fontId="52" fillId="5" borderId="4" applyNumberFormat="0" applyAlignment="0" applyProtection="0"/>
    <xf numFmtId="9" fontId="52" fillId="0" borderId="0" applyFill="0" applyBorder="0" applyAlignment="0" applyProtection="0"/>
    <xf numFmtId="9" fontId="52" fillId="0" borderId="0" applyFill="0" applyBorder="0" applyAlignment="0" applyProtection="0"/>
    <xf numFmtId="0" fontId="9" fillId="11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2" fillId="0" borderId="9" applyNumberFormat="0" applyFill="0" applyAlignment="0" applyProtection="0"/>
    <xf numFmtId="171" fontId="52" fillId="0" borderId="0" applyFill="0" applyBorder="0" applyAlignment="0" applyProtection="0"/>
    <xf numFmtId="165" fontId="52" fillId="0" borderId="0" applyFill="0" applyBorder="0" applyAlignment="0" applyProtection="0"/>
  </cellStyleXfs>
  <cellXfs count="844">
    <xf numFmtId="0" fontId="0" fillId="0" borderId="0" xfId="0"/>
    <xf numFmtId="0" fontId="0" fillId="0" borderId="10" xfId="0" applyFill="1" applyBorder="1"/>
    <xf numFmtId="0" fontId="0" fillId="0" borderId="11" xfId="0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vertical="center"/>
    </xf>
    <xf numFmtId="0" fontId="0" fillId="0" borderId="12" xfId="0" applyFill="1" applyBorder="1"/>
    <xf numFmtId="0" fontId="0" fillId="6" borderId="0" xfId="0" applyFont="1" applyFill="1" applyBorder="1"/>
    <xf numFmtId="0" fontId="0" fillId="16" borderId="0" xfId="0" applyFont="1" applyFill="1" applyBorder="1" applyAlignment="1" applyProtection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/>
    </xf>
    <xf numFmtId="0" fontId="23" fillId="0" borderId="0" xfId="0" applyFont="1" applyAlignment="1">
      <alignment vertical="center"/>
    </xf>
    <xf numFmtId="0" fontId="0" fillId="0" borderId="13" xfId="0" applyBorder="1"/>
    <xf numFmtId="0" fontId="24" fillId="0" borderId="0" xfId="0" applyFont="1"/>
    <xf numFmtId="0" fontId="24" fillId="0" borderId="14" xfId="0" applyFont="1" applyBorder="1" applyAlignment="1" applyProtection="1">
      <alignment horizontal="left"/>
    </xf>
    <xf numFmtId="0" fontId="24" fillId="0" borderId="14" xfId="0" applyFont="1" applyBorder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0" fillId="0" borderId="0" xfId="0" applyFont="1" applyProtection="1"/>
    <xf numFmtId="0" fontId="0" fillId="0" borderId="0" xfId="0" applyFont="1" applyFill="1" applyAlignment="1" applyProtection="1">
      <alignment horizontal="center"/>
    </xf>
    <xf numFmtId="0" fontId="0" fillId="0" borderId="0" xfId="0" applyFont="1" applyFill="1" applyAlignment="1" applyProtection="1">
      <alignment horizontal="left"/>
    </xf>
    <xf numFmtId="0" fontId="0" fillId="0" borderId="0" xfId="0" applyFont="1" applyFill="1" applyProtection="1"/>
    <xf numFmtId="0" fontId="0" fillId="0" borderId="0" xfId="0" applyFont="1" applyAlignment="1" applyProtection="1">
      <alignment horizontal="center"/>
    </xf>
    <xf numFmtId="0" fontId="0" fillId="0" borderId="15" xfId="0" applyFont="1" applyBorder="1" applyAlignment="1">
      <alignment vertical="center"/>
    </xf>
    <xf numFmtId="0" fontId="0" fillId="16" borderId="16" xfId="0" applyFont="1" applyFill="1" applyBorder="1" applyAlignment="1" applyProtection="1">
      <alignment vertical="center"/>
      <protection locked="0"/>
    </xf>
    <xf numFmtId="0" fontId="0" fillId="0" borderId="17" xfId="0" applyFont="1" applyBorder="1" applyAlignment="1">
      <alignment vertical="center"/>
    </xf>
    <xf numFmtId="49" fontId="0" fillId="6" borderId="18" xfId="0" applyNumberFormat="1" applyFont="1" applyFill="1" applyBorder="1" applyAlignment="1" applyProtection="1">
      <alignment vertical="center"/>
      <protection locked="0"/>
    </xf>
    <xf numFmtId="0" fontId="0" fillId="0" borderId="19" xfId="0" applyFont="1" applyBorder="1" applyAlignment="1">
      <alignment vertical="center"/>
    </xf>
    <xf numFmtId="49" fontId="0" fillId="6" borderId="20" xfId="0" applyNumberFormat="1" applyFont="1" applyFill="1" applyBorder="1" applyAlignment="1" applyProtection="1">
      <alignment vertical="center"/>
      <protection locked="0"/>
    </xf>
    <xf numFmtId="4" fontId="0" fillId="6" borderId="20" xfId="0" applyNumberFormat="1" applyFill="1" applyBorder="1" applyAlignment="1" applyProtection="1">
      <alignment horizontal="left" vertical="center"/>
      <protection locked="0"/>
    </xf>
    <xf numFmtId="10" fontId="0" fillId="6" borderId="20" xfId="0" applyNumberFormat="1" applyFill="1" applyBorder="1" applyAlignment="1" applyProtection="1">
      <alignment horizontal="left" vertical="center"/>
      <protection locked="0"/>
    </xf>
    <xf numFmtId="0" fontId="0" fillId="0" borderId="21" xfId="0" applyFont="1" applyBorder="1" applyAlignment="1">
      <alignment vertical="center"/>
    </xf>
    <xf numFmtId="10" fontId="0" fillId="6" borderId="22" xfId="0" applyNumberFormat="1" applyFill="1" applyBorder="1" applyAlignment="1" applyProtection="1">
      <alignment horizontal="left" vertical="center"/>
      <protection locked="0"/>
    </xf>
    <xf numFmtId="10" fontId="0" fillId="0" borderId="0" xfId="0" applyNumberFormat="1" applyFill="1" applyBorder="1" applyAlignment="1" applyProtection="1">
      <alignment horizontal="left" vertical="center"/>
    </xf>
    <xf numFmtId="0" fontId="0" fillId="0" borderId="23" xfId="0" applyFont="1" applyBorder="1" applyAlignment="1">
      <alignment vertical="center"/>
    </xf>
    <xf numFmtId="0" fontId="0" fillId="0" borderId="19" xfId="0" applyFont="1" applyFill="1" applyBorder="1" applyAlignment="1">
      <alignment vertical="center"/>
    </xf>
    <xf numFmtId="0" fontId="0" fillId="16" borderId="25" xfId="0" applyFont="1" applyFill="1" applyBorder="1" applyAlignment="1" applyProtection="1">
      <alignment vertical="center"/>
      <protection locked="0"/>
    </xf>
    <xf numFmtId="0" fontId="0" fillId="0" borderId="26" xfId="0" applyFont="1" applyBorder="1" applyAlignment="1">
      <alignment vertical="center"/>
    </xf>
    <xf numFmtId="166" fontId="0" fillId="6" borderId="22" xfId="0" applyNumberFormat="1" applyFill="1" applyBorder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4" fontId="0" fillId="6" borderId="22" xfId="0" applyNumberFormat="1" applyFill="1" applyBorder="1" applyAlignment="1" applyProtection="1">
      <alignment horizontal="left" vertical="center"/>
      <protection locked="0"/>
    </xf>
    <xf numFmtId="14" fontId="0" fillId="6" borderId="16" xfId="0" applyNumberFormat="1" applyFill="1" applyBorder="1" applyAlignment="1" applyProtection="1">
      <alignment horizontal="left" vertical="center"/>
      <protection locked="0"/>
    </xf>
    <xf numFmtId="0" fontId="0" fillId="0" borderId="17" xfId="0" applyFont="1" applyFill="1" applyBorder="1" applyAlignment="1">
      <alignment vertical="center"/>
    </xf>
    <xf numFmtId="0" fontId="0" fillId="0" borderId="26" xfId="0" applyFont="1" applyFill="1" applyBorder="1" applyAlignment="1">
      <alignment vertical="center"/>
    </xf>
    <xf numFmtId="166" fontId="0" fillId="6" borderId="27" xfId="0" applyNumberFormat="1" applyFill="1" applyBorder="1" applyAlignment="1" applyProtection="1">
      <alignment horizontal="left" vertical="center"/>
      <protection locked="0"/>
    </xf>
    <xf numFmtId="14" fontId="0" fillId="6" borderId="28" xfId="0" applyNumberFormat="1" applyFill="1" applyBorder="1" applyAlignment="1" applyProtection="1">
      <alignment horizontal="left" vertical="center"/>
      <protection locked="0"/>
    </xf>
    <xf numFmtId="49" fontId="0" fillId="6" borderId="16" xfId="0" applyNumberFormat="1" applyFont="1" applyFill="1" applyBorder="1" applyAlignment="1" applyProtection="1">
      <alignment vertical="center"/>
      <protection locked="0"/>
    </xf>
    <xf numFmtId="49" fontId="0" fillId="6" borderId="28" xfId="0" applyNumberFormat="1" applyFont="1" applyFill="1" applyBorder="1" applyAlignment="1" applyProtection="1">
      <alignment vertical="center"/>
      <protection locked="0"/>
    </xf>
    <xf numFmtId="49" fontId="0" fillId="6" borderId="16" xfId="0" applyNumberFormat="1" applyFill="1" applyBorder="1" applyAlignment="1" applyProtection="1">
      <alignment vertical="center"/>
      <protection locked="0"/>
    </xf>
    <xf numFmtId="49" fontId="0" fillId="6" borderId="22" xfId="0" applyNumberFormat="1" applyFill="1" applyBorder="1" applyAlignment="1" applyProtection="1">
      <alignment vertical="center"/>
      <protection locked="0"/>
    </xf>
    <xf numFmtId="0" fontId="25" fillId="0" borderId="12" xfId="0" applyFont="1" applyBorder="1" applyAlignment="1">
      <alignment horizontal="left"/>
    </xf>
    <xf numFmtId="0" fontId="0" fillId="0" borderId="29" xfId="0" applyBorder="1"/>
    <xf numFmtId="0" fontId="26" fillId="0" borderId="30" xfId="0" applyFont="1" applyBorder="1" applyAlignment="1">
      <alignment horizontal="left" indent="1"/>
    </xf>
    <xf numFmtId="0" fontId="0" fillId="0" borderId="30" xfId="0" applyBorder="1" applyAlignment="1">
      <alignment vertical="center"/>
    </xf>
    <xf numFmtId="0" fontId="27" fillId="0" borderId="12" xfId="0" applyFont="1" applyBorder="1"/>
    <xf numFmtId="0" fontId="26" fillId="0" borderId="0" xfId="0" applyFont="1" applyAlignment="1">
      <alignment horizontal="left" indent="1"/>
    </xf>
    <xf numFmtId="0" fontId="0" fillId="0" borderId="12" xfId="0" applyBorder="1"/>
    <xf numFmtId="0" fontId="12" fillId="0" borderId="0" xfId="0" applyFont="1" applyAlignment="1">
      <alignment horizontal="left" indent="1"/>
    </xf>
    <xf numFmtId="0" fontId="12" fillId="0" borderId="0" xfId="0" applyFont="1" applyAlignment="1">
      <alignment horizontal="left" vertical="top" indent="1"/>
    </xf>
    <xf numFmtId="0" fontId="12" fillId="0" borderId="0" xfId="0" applyFont="1" applyBorder="1" applyAlignment="1">
      <alignment horizontal="left" indent="1"/>
    </xf>
    <xf numFmtId="0" fontId="12" fillId="0" borderId="0" xfId="0" applyFont="1" applyBorder="1" applyAlignment="1">
      <alignment horizontal="left" vertical="top" indent="1"/>
    </xf>
    <xf numFmtId="0" fontId="0" fillId="0" borderId="0" xfId="0" applyBorder="1" applyAlignment="1">
      <alignment vertical="center"/>
    </xf>
    <xf numFmtId="0" fontId="0" fillId="0" borderId="0" xfId="33" applyFont="1" applyProtection="1"/>
    <xf numFmtId="0" fontId="24" fillId="0" borderId="0" xfId="33" applyFont="1" applyAlignment="1" applyProtection="1">
      <alignment horizontal="center"/>
    </xf>
    <xf numFmtId="0" fontId="23" fillId="0" borderId="0" xfId="33" applyFont="1" applyAlignment="1" applyProtection="1">
      <alignment horizontal="center"/>
    </xf>
    <xf numFmtId="0" fontId="0" fillId="0" borderId="31" xfId="0" applyFont="1" applyBorder="1" applyAlignment="1" applyProtection="1">
      <alignment horizontal="center"/>
    </xf>
    <xf numFmtId="0" fontId="24" fillId="0" borderId="32" xfId="33" applyFont="1" applyBorder="1" applyAlignment="1" applyProtection="1">
      <alignment horizontal="center"/>
    </xf>
    <xf numFmtId="10" fontId="28" fillId="0" borderId="32" xfId="33" applyNumberFormat="1" applyFont="1" applyFill="1" applyBorder="1" applyAlignment="1" applyProtection="1">
      <alignment horizontal="center"/>
    </xf>
    <xf numFmtId="0" fontId="24" fillId="0" borderId="31" xfId="35" applyFont="1" applyBorder="1" applyAlignment="1" applyProtection="1">
      <alignment horizontal="left" vertical="top"/>
    </xf>
    <xf numFmtId="0" fontId="0" fillId="0" borderId="14" xfId="33" applyFont="1" applyFill="1" applyBorder="1" applyAlignment="1" applyProtection="1">
      <alignment horizontal="left" vertical="top" wrapText="1"/>
    </xf>
    <xf numFmtId="0" fontId="24" fillId="0" borderId="0" xfId="33" applyFont="1" applyProtection="1"/>
    <xf numFmtId="0" fontId="24" fillId="0" borderId="32" xfId="33" applyFont="1" applyFill="1" applyBorder="1" applyAlignment="1" applyProtection="1">
      <alignment horizontal="center" vertical="center" wrapText="1"/>
    </xf>
    <xf numFmtId="0" fontId="8" fillId="0" borderId="0" xfId="33" applyFont="1" applyFill="1" applyBorder="1" applyAlignment="1" applyProtection="1">
      <alignment horizontal="left"/>
    </xf>
    <xf numFmtId="0" fontId="29" fillId="0" borderId="32" xfId="33" applyFont="1" applyBorder="1" applyAlignment="1" applyProtection="1">
      <alignment horizontal="center" vertical="center"/>
    </xf>
    <xf numFmtId="10" fontId="29" fillId="6" borderId="32" xfId="33" applyNumberFormat="1" applyFont="1" applyFill="1" applyBorder="1" applyAlignment="1" applyProtection="1">
      <alignment horizontal="center" vertical="center"/>
      <protection locked="0"/>
    </xf>
    <xf numFmtId="10" fontId="29" fillId="0" borderId="32" xfId="33" applyNumberFormat="1" applyFont="1" applyFill="1" applyBorder="1" applyAlignment="1" applyProtection="1">
      <alignment horizontal="center" vertical="center"/>
    </xf>
    <xf numFmtId="10" fontId="29" fillId="0" borderId="32" xfId="33" applyNumberFormat="1" applyFont="1" applyFill="1" applyBorder="1" applyAlignment="1" applyProtection="1">
      <alignment horizontal="center" vertical="center" wrapText="1"/>
    </xf>
    <xf numFmtId="0" fontId="29" fillId="0" borderId="32" xfId="33" applyFont="1" applyFill="1" applyBorder="1" applyAlignment="1" applyProtection="1">
      <alignment horizontal="center" vertical="center" wrapText="1"/>
    </xf>
    <xf numFmtId="0" fontId="29" fillId="8" borderId="32" xfId="33" applyFont="1" applyFill="1" applyBorder="1" applyAlignment="1" applyProtection="1">
      <alignment horizontal="center" vertical="center" wrapText="1"/>
    </xf>
    <xf numFmtId="10" fontId="17" fillId="8" borderId="32" xfId="33" applyNumberFormat="1" applyFont="1" applyFill="1" applyBorder="1" applyAlignment="1" applyProtection="1">
      <alignment horizontal="center" vertical="center"/>
    </xf>
    <xf numFmtId="0" fontId="30" fillId="0" borderId="0" xfId="33" applyFont="1" applyBorder="1" applyAlignment="1" applyProtection="1">
      <alignment horizontal="right" vertical="center"/>
    </xf>
    <xf numFmtId="0" fontId="0" fillId="0" borderId="0" xfId="33" applyFont="1" applyBorder="1" applyAlignment="1" applyProtection="1">
      <alignment horizontal="center" vertical="top"/>
    </xf>
    <xf numFmtId="0" fontId="32" fillId="0" borderId="0" xfId="0" applyFont="1" applyBorder="1" applyAlignment="1" applyProtection="1">
      <alignment horizontal="right" vertical="center"/>
    </xf>
    <xf numFmtId="0" fontId="32" fillId="0" borderId="0" xfId="0" applyFont="1" applyBorder="1" applyAlignment="1" applyProtection="1">
      <alignment horizontal="left" vertical="center"/>
    </xf>
    <xf numFmtId="0" fontId="32" fillId="0" borderId="0" xfId="0" applyFont="1" applyBorder="1" applyAlignment="1" applyProtection="1">
      <alignment horizontal="center" vertical="top"/>
    </xf>
    <xf numFmtId="0" fontId="34" fillId="0" borderId="0" xfId="33" applyFont="1" applyBorder="1" applyAlignment="1" applyProtection="1">
      <alignment horizontal="center" vertical="top"/>
    </xf>
    <xf numFmtId="169" fontId="0" fillId="0" borderId="0" xfId="33" applyNumberFormat="1" applyFont="1" applyAlignment="1" applyProtection="1"/>
    <xf numFmtId="0" fontId="24" fillId="0" borderId="10" xfId="33" applyFont="1" applyBorder="1" applyAlignment="1" applyProtection="1">
      <alignment horizontal="left"/>
    </xf>
    <xf numFmtId="0" fontId="0" fillId="0" borderId="10" xfId="33" applyFont="1" applyBorder="1" applyProtection="1"/>
    <xf numFmtId="0" fontId="29" fillId="0" borderId="0" xfId="33" applyFont="1" applyBorder="1" applyProtection="1"/>
    <xf numFmtId="0" fontId="0" fillId="0" borderId="0" xfId="33" applyFont="1" applyBorder="1" applyProtection="1"/>
    <xf numFmtId="0" fontId="24" fillId="0" borderId="0" xfId="35" applyFont="1" applyBorder="1" applyAlignment="1" applyProtection="1">
      <alignment horizontal="left" vertical="top"/>
    </xf>
    <xf numFmtId="0" fontId="0" fillId="0" borderId="0" xfId="33" applyNumberFormat="1" applyFont="1" applyFill="1" applyBorder="1" applyAlignment="1" applyProtection="1">
      <alignment vertical="top"/>
    </xf>
    <xf numFmtId="167" fontId="0" fillId="0" borderId="0" xfId="33" applyNumberFormat="1" applyFont="1" applyFill="1" applyBorder="1" applyAlignment="1" applyProtection="1"/>
    <xf numFmtId="0" fontId="29" fillId="0" borderId="0" xfId="33" applyFont="1" applyProtection="1"/>
    <xf numFmtId="167" fontId="0" fillId="0" borderId="0" xfId="33" applyNumberFormat="1" applyFont="1" applyFill="1" applyBorder="1" applyAlignment="1" applyProtection="1">
      <alignment vertical="top"/>
    </xf>
    <xf numFmtId="0" fontId="0" fillId="0" borderId="0" xfId="0" applyFont="1" applyFill="1"/>
    <xf numFmtId="0" fontId="0" fillId="0" borderId="0" xfId="0" applyBorder="1"/>
    <xf numFmtId="0" fontId="35" fillId="0" borderId="0" xfId="0" applyFont="1" applyFill="1" applyAlignment="1">
      <alignment vertical="center"/>
    </xf>
    <xf numFmtId="0" fontId="23" fillId="0" borderId="0" xfId="0" applyFont="1" applyAlignment="1">
      <alignment horizontal="left" vertical="center"/>
    </xf>
    <xf numFmtId="0" fontId="0" fillId="0" borderId="0" xfId="0" applyFont="1" applyBorder="1" applyAlignment="1" applyProtection="1">
      <alignment horizontal="center"/>
    </xf>
    <xf numFmtId="0" fontId="0" fillId="0" borderId="0" xfId="0" applyFont="1"/>
    <xf numFmtId="0" fontId="0" fillId="0" borderId="0" xfId="0" applyFont="1" applyBorder="1"/>
    <xf numFmtId="0" fontId="36" fillId="0" borderId="0" xfId="0" applyFont="1" applyAlignment="1">
      <alignment horizontal="left" vertical="center"/>
    </xf>
    <xf numFmtId="0" fontId="24" fillId="0" borderId="0" xfId="0" applyFont="1" applyBorder="1" applyAlignment="1" applyProtection="1">
      <alignment horizontal="center"/>
    </xf>
    <xf numFmtId="0" fontId="37" fillId="0" borderId="0" xfId="0" applyFont="1"/>
    <xf numFmtId="0" fontId="0" fillId="0" borderId="0" xfId="0" applyFont="1" applyAlignment="1">
      <alignment wrapText="1"/>
    </xf>
    <xf numFmtId="10" fontId="0" fillId="0" borderId="0" xfId="0" applyNumberFormat="1" applyFont="1"/>
    <xf numFmtId="0" fontId="24" fillId="0" borderId="31" xfId="35" applyFont="1" applyBorder="1" applyAlignment="1" applyProtection="1">
      <alignment vertical="top"/>
    </xf>
    <xf numFmtId="0" fontId="0" fillId="0" borderId="32" xfId="0" applyFont="1" applyBorder="1"/>
    <xf numFmtId="0" fontId="0" fillId="0" borderId="32" xfId="0" applyFont="1" applyBorder="1" applyProtection="1">
      <protection locked="0"/>
    </xf>
    <xf numFmtId="0" fontId="0" fillId="0" borderId="0" xfId="0" applyFont="1" applyAlignment="1">
      <alignment horizontal="center"/>
    </xf>
    <xf numFmtId="10" fontId="0" fillId="0" borderId="0" xfId="0" applyNumberFormat="1" applyBorder="1"/>
    <xf numFmtId="10" fontId="0" fillId="0" borderId="0" xfId="0" applyNumberFormat="1"/>
    <xf numFmtId="0" fontId="0" fillId="0" borderId="14" xfId="33" applyFont="1" applyFill="1" applyBorder="1" applyAlignment="1" applyProtection="1">
      <alignment vertical="top" wrapText="1"/>
    </xf>
    <xf numFmtId="0" fontId="0" fillId="0" borderId="29" xfId="33" applyFont="1" applyFill="1" applyBorder="1" applyAlignment="1" applyProtection="1">
      <alignment vertical="top" wrapText="1"/>
    </xf>
    <xf numFmtId="0" fontId="0" fillId="0" borderId="0" xfId="33" applyFont="1" applyFill="1" applyBorder="1" applyAlignment="1" applyProtection="1">
      <alignment horizontal="left" vertical="top" wrapText="1"/>
    </xf>
    <xf numFmtId="0" fontId="0" fillId="0" borderId="32" xfId="0" applyNumberFormat="1" applyFont="1" applyBorder="1" applyProtection="1">
      <protection locked="0"/>
    </xf>
    <xf numFmtId="0" fontId="0" fillId="0" borderId="10" xfId="33" applyFont="1" applyFill="1" applyBorder="1" applyAlignment="1" applyProtection="1">
      <alignment horizontal="left" vertical="top" wrapText="1"/>
    </xf>
    <xf numFmtId="0" fontId="0" fillId="0" borderId="10" xfId="33" applyFont="1" applyFill="1" applyBorder="1" applyAlignment="1" applyProtection="1">
      <alignment vertical="top" wrapText="1"/>
    </xf>
    <xf numFmtId="0" fontId="22" fillId="0" borderId="0" xfId="0" applyFont="1" applyBorder="1" applyAlignment="1">
      <alignment horizontal="center"/>
    </xf>
    <xf numFmtId="0" fontId="24" fillId="0" borderId="33" xfId="35" applyFont="1" applyBorder="1" applyAlignment="1" applyProtection="1">
      <alignment horizontal="left" vertical="top"/>
    </xf>
    <xf numFmtId="0" fontId="24" fillId="0" borderId="0" xfId="35" applyFont="1" applyBorder="1" applyAlignment="1" applyProtection="1">
      <alignment horizontal="center" vertical="top"/>
    </xf>
    <xf numFmtId="0" fontId="24" fillId="0" borderId="31" xfId="35" applyFont="1" applyBorder="1" applyAlignment="1" applyProtection="1">
      <alignment horizontal="center" vertical="top"/>
    </xf>
    <xf numFmtId="0" fontId="0" fillId="0" borderId="0" xfId="0" applyFont="1" applyFill="1" applyAlignment="1" applyProtection="1"/>
    <xf numFmtId="170" fontId="0" fillId="0" borderId="14" xfId="33" applyNumberFormat="1" applyFont="1" applyFill="1" applyBorder="1" applyAlignment="1" applyProtection="1">
      <alignment vertical="top" shrinkToFit="1"/>
    </xf>
    <xf numFmtId="0" fontId="0" fillId="0" borderId="30" xfId="33" applyFont="1" applyFill="1" applyBorder="1" applyAlignment="1" applyProtection="1">
      <alignment horizontal="center" vertical="top" wrapText="1"/>
    </xf>
    <xf numFmtId="0" fontId="0" fillId="0" borderId="14" xfId="33" applyFont="1" applyFill="1" applyBorder="1" applyAlignment="1" applyProtection="1">
      <alignment horizontal="center" vertical="top" wrapText="1"/>
    </xf>
    <xf numFmtId="10" fontId="0" fillId="0" borderId="0" xfId="0" applyNumberFormat="1" applyFont="1" applyAlignment="1" applyProtection="1">
      <alignment vertical="center" wrapText="1"/>
    </xf>
    <xf numFmtId="0" fontId="39" fillId="0" borderId="34" xfId="0" applyFont="1" applyBorder="1" applyAlignment="1" applyProtection="1">
      <alignment horizontal="center" vertical="center" wrapText="1"/>
    </xf>
    <xf numFmtId="0" fontId="40" fillId="0" borderId="0" xfId="0" applyFont="1"/>
    <xf numFmtId="0" fontId="22" fillId="0" borderId="14" xfId="0" applyFont="1" applyBorder="1" applyAlignment="1">
      <alignment horizontal="center"/>
    </xf>
    <xf numFmtId="1" fontId="41" fillId="0" borderId="0" xfId="0" applyNumberFormat="1" applyFont="1" applyAlignment="1">
      <alignment horizontal="center" vertical="center"/>
    </xf>
    <xf numFmtId="0" fontId="24" fillId="0" borderId="32" xfId="0" applyFont="1" applyBorder="1" applyAlignment="1" applyProtection="1">
      <alignment horizontal="center" vertical="center" wrapText="1"/>
    </xf>
    <xf numFmtId="0" fontId="42" fillId="0" borderId="32" xfId="0" applyFont="1" applyBorder="1" applyAlignment="1" applyProtection="1">
      <alignment horizontal="center" vertical="center" wrapText="1"/>
    </xf>
    <xf numFmtId="0" fontId="24" fillId="0" borderId="32" xfId="0" applyFont="1" applyBorder="1" applyAlignment="1" applyProtection="1">
      <alignment horizontal="center" vertical="center"/>
    </xf>
    <xf numFmtId="0" fontId="24" fillId="0" borderId="35" xfId="0" applyFont="1" applyFill="1" applyBorder="1" applyAlignment="1" applyProtection="1">
      <alignment horizontal="center" vertical="center" wrapText="1"/>
    </xf>
    <xf numFmtId="0" fontId="24" fillId="0" borderId="36" xfId="0" applyFont="1" applyFill="1" applyBorder="1" applyAlignment="1" applyProtection="1">
      <alignment horizontal="center" vertical="center" wrapText="1"/>
    </xf>
    <xf numFmtId="0" fontId="24" fillId="0" borderId="0" xfId="0" applyFont="1" applyFill="1" applyBorder="1" applyAlignment="1" applyProtection="1">
      <alignment horizontal="center" vertical="center" wrapText="1"/>
    </xf>
    <xf numFmtId="0" fontId="24" fillId="0" borderId="37" xfId="0" applyFont="1" applyBorder="1" applyAlignment="1" applyProtection="1">
      <alignment horizontal="center" vertical="center" wrapText="1"/>
    </xf>
    <xf numFmtId="0" fontId="38" fillId="0" borderId="0" xfId="0" applyFont="1" applyAlignment="1">
      <alignment horizontal="center"/>
    </xf>
    <xf numFmtId="0" fontId="8" fillId="16" borderId="38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38" xfId="0" applyNumberFormat="1" applyFont="1" applyFill="1" applyBorder="1" applyAlignment="1" applyProtection="1">
      <alignment horizontal="center" vertical="center" wrapText="1"/>
    </xf>
    <xf numFmtId="0" fontId="0" fillId="0" borderId="39" xfId="0" applyNumberFormat="1" applyFont="1" applyFill="1" applyBorder="1" applyAlignment="1">
      <alignment vertical="center" wrapText="1" shrinkToFit="1"/>
    </xf>
    <xf numFmtId="49" fontId="0" fillId="16" borderId="40" xfId="0" applyNumberFormat="1" applyFont="1" applyFill="1" applyBorder="1" applyAlignment="1" applyProtection="1">
      <alignment horizontal="center" vertical="center" wrapText="1"/>
      <protection locked="0"/>
    </xf>
    <xf numFmtId="49" fontId="0" fillId="6" borderId="40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40" xfId="0" applyNumberFormat="1" applyFont="1" applyFill="1" applyBorder="1" applyAlignment="1" applyProtection="1">
      <alignment horizontal="left" vertical="center" wrapText="1"/>
      <protection locked="0"/>
    </xf>
    <xf numFmtId="0" fontId="0" fillId="6" borderId="40" xfId="0" applyNumberFormat="1" applyFont="1" applyFill="1" applyBorder="1" applyAlignment="1" applyProtection="1">
      <alignment horizontal="center" vertical="center" wrapText="1"/>
      <protection locked="0"/>
    </xf>
    <xf numFmtId="171" fontId="0" fillId="0" borderId="40" xfId="48" applyNumberFormat="1" applyFont="1" applyFill="1" applyBorder="1" applyAlignment="1" applyProtection="1">
      <alignment vertical="center" shrinkToFit="1"/>
    </xf>
    <xf numFmtId="171" fontId="0" fillId="6" borderId="40" xfId="48" applyFont="1" applyFill="1" applyBorder="1" applyAlignment="1" applyProtection="1">
      <alignment vertical="center" wrapText="1"/>
      <protection locked="0"/>
    </xf>
    <xf numFmtId="10" fontId="0" fillId="16" borderId="40" xfId="37" applyNumberFormat="1" applyFont="1" applyFill="1" applyBorder="1" applyAlignment="1" applyProtection="1">
      <alignment horizontal="center" vertical="center" wrapText="1"/>
      <protection locked="0"/>
    </xf>
    <xf numFmtId="171" fontId="0" fillId="0" borderId="41" xfId="48" applyNumberFormat="1" applyFont="1" applyFill="1" applyBorder="1" applyAlignment="1" applyProtection="1">
      <alignment horizontal="center" vertical="center" shrinkToFit="1"/>
    </xf>
    <xf numFmtId="10" fontId="38" fillId="16" borderId="42" xfId="37" applyNumberFormat="1" applyFont="1" applyFill="1" applyBorder="1" applyAlignment="1" applyProtection="1">
      <alignment horizontal="center" vertical="center"/>
      <protection locked="0"/>
    </xf>
    <xf numFmtId="0" fontId="0" fillId="0" borderId="43" xfId="0" applyFont="1" applyBorder="1"/>
    <xf numFmtId="0" fontId="0" fillId="0" borderId="44" xfId="0" applyFont="1" applyBorder="1"/>
    <xf numFmtId="0" fontId="22" fillId="0" borderId="0" xfId="0" applyFont="1" applyFill="1"/>
    <xf numFmtId="0" fontId="0" fillId="0" borderId="0" xfId="0" applyFont="1" applyAlignment="1">
      <alignment horizontal="left"/>
    </xf>
    <xf numFmtId="0" fontId="24" fillId="17" borderId="32" xfId="0" applyNumberFormat="1" applyFont="1" applyFill="1" applyBorder="1" applyAlignment="1" applyProtection="1">
      <alignment horizontal="center" vertical="center"/>
    </xf>
    <xf numFmtId="49" fontId="24" fillId="17" borderId="45" xfId="0" applyNumberFormat="1" applyFont="1" applyFill="1" applyBorder="1" applyAlignment="1" applyProtection="1">
      <alignment horizontal="center" vertical="center"/>
    </xf>
    <xf numFmtId="171" fontId="24" fillId="17" borderId="45" xfId="48" applyNumberFormat="1" applyFont="1" applyFill="1" applyBorder="1" applyAlignment="1" applyProtection="1">
      <alignment horizontal="center" vertical="center"/>
    </xf>
    <xf numFmtId="10" fontId="24" fillId="17" borderId="45" xfId="37" applyNumberFormat="1" applyFont="1" applyFill="1" applyBorder="1" applyAlignment="1" applyProtection="1">
      <alignment horizontal="center" vertical="center"/>
    </xf>
    <xf numFmtId="171" fontId="24" fillId="17" borderId="46" xfId="48" applyNumberFormat="1" applyFont="1" applyFill="1" applyBorder="1" applyAlignment="1" applyProtection="1">
      <alignment horizontal="center" vertical="center" shrinkToFit="1"/>
    </xf>
    <xf numFmtId="171" fontId="21" fillId="17" borderId="46" xfId="48" applyNumberFormat="1" applyFont="1" applyFill="1" applyBorder="1" applyAlignment="1" applyProtection="1">
      <alignment horizontal="center" vertical="center" shrinkToFit="1"/>
    </xf>
    <xf numFmtId="0" fontId="22" fillId="0" borderId="0" xfId="0" applyFont="1"/>
    <xf numFmtId="0" fontId="0" fillId="4" borderId="13" xfId="0" applyFont="1" applyFill="1" applyBorder="1"/>
    <xf numFmtId="0" fontId="0" fillId="4" borderId="46" xfId="0" applyFont="1" applyFill="1" applyBorder="1"/>
    <xf numFmtId="0" fontId="29" fillId="0" borderId="0" xfId="0" applyFont="1"/>
    <xf numFmtId="0" fontId="29" fillId="0" borderId="33" xfId="0" applyFont="1" applyBorder="1" applyAlignment="1" applyProtection="1">
      <alignment horizontal="left" vertical="center"/>
    </xf>
    <xf numFmtId="0" fontId="0" fillId="0" borderId="12" xfId="0" applyFont="1" applyBorder="1"/>
    <xf numFmtId="0" fontId="29" fillId="0" borderId="0" xfId="0" applyFont="1" applyFill="1" applyBorder="1" applyAlignment="1" applyProtection="1">
      <alignment horizontal="left" wrapText="1"/>
      <protection locked="0"/>
    </xf>
    <xf numFmtId="0" fontId="17" fillId="0" borderId="0" xfId="0" applyFont="1" applyFill="1" applyBorder="1" applyAlignment="1" applyProtection="1">
      <alignment horizontal="left" wrapText="1"/>
    </xf>
    <xf numFmtId="167" fontId="0" fillId="0" borderId="30" xfId="0" applyNumberFormat="1" applyFont="1" applyBorder="1" applyAlignment="1" applyProtection="1">
      <alignment horizontal="left"/>
    </xf>
    <xf numFmtId="0" fontId="17" fillId="0" borderId="30" xfId="33" applyFont="1" applyBorder="1" applyAlignment="1" applyProtection="1">
      <alignment vertical="center"/>
    </xf>
    <xf numFmtId="0" fontId="0" fillId="0" borderId="0" xfId="0" applyFill="1"/>
    <xf numFmtId="0" fontId="24" fillId="0" borderId="10" xfId="0" applyFont="1" applyBorder="1"/>
    <xf numFmtId="0" fontId="0" fillId="0" borderId="10" xfId="0" applyFont="1" applyBorder="1"/>
    <xf numFmtId="0" fontId="23" fillId="0" borderId="0" xfId="0" applyFont="1" applyAlignment="1">
      <alignment horizontal="left" vertical="center" indent="10"/>
    </xf>
    <xf numFmtId="0" fontId="23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 indent="10"/>
    </xf>
    <xf numFmtId="0" fontId="36" fillId="0" borderId="0" xfId="0" applyFont="1" applyAlignment="1">
      <alignment horizontal="center" vertical="center"/>
    </xf>
    <xf numFmtId="0" fontId="24" fillId="0" borderId="33" xfId="35" applyFont="1" applyBorder="1" applyAlignment="1" applyProtection="1">
      <alignment vertical="top"/>
    </xf>
    <xf numFmtId="0" fontId="24" fillId="0" borderId="0" xfId="35" applyFont="1" applyBorder="1" applyAlignment="1" applyProtection="1">
      <alignment vertical="top"/>
    </xf>
    <xf numFmtId="0" fontId="24" fillId="0" borderId="12" xfId="35" applyFont="1" applyBorder="1" applyAlignment="1" applyProtection="1">
      <alignment vertical="top"/>
    </xf>
    <xf numFmtId="0" fontId="0" fillId="0" borderId="47" xfId="33" applyNumberFormat="1" applyFont="1" applyFill="1" applyBorder="1" applyAlignment="1" applyProtection="1">
      <alignment vertical="top"/>
    </xf>
    <xf numFmtId="0" fontId="0" fillId="0" borderId="30" xfId="33" applyFont="1" applyFill="1" applyBorder="1" applyAlignment="1" applyProtection="1">
      <alignment vertical="top" wrapText="1"/>
    </xf>
    <xf numFmtId="0" fontId="31" fillId="0" borderId="0" xfId="0" applyFont="1" applyAlignment="1">
      <alignment horizontal="center"/>
    </xf>
    <xf numFmtId="0" fontId="22" fillId="0" borderId="30" xfId="0" applyFont="1" applyBorder="1" applyAlignment="1">
      <alignment vertical="center" wrapText="1"/>
    </xf>
    <xf numFmtId="0" fontId="22" fillId="0" borderId="30" xfId="0" applyFont="1" applyBorder="1" applyAlignment="1">
      <alignment horizontal="right" vertical="center" wrapText="1"/>
    </xf>
    <xf numFmtId="0" fontId="44" fillId="0" borderId="0" xfId="0" applyFont="1"/>
    <xf numFmtId="1" fontId="41" fillId="0" borderId="0" xfId="0" applyNumberFormat="1" applyFont="1" applyAlignment="1">
      <alignment horizontal="left" textRotation="90" wrapText="1"/>
    </xf>
    <xf numFmtId="0" fontId="22" fillId="0" borderId="30" xfId="0" applyFont="1" applyBorder="1" applyAlignment="1">
      <alignment horizontal="center" vertical="center" wrapText="1"/>
    </xf>
    <xf numFmtId="0" fontId="0" fillId="6" borderId="48" xfId="0" applyFill="1" applyBorder="1" applyAlignment="1" applyProtection="1">
      <alignment horizontal="center" textRotation="90" wrapText="1"/>
      <protection locked="0"/>
    </xf>
    <xf numFmtId="0" fontId="0" fillId="6" borderId="49" xfId="0" applyFill="1" applyBorder="1" applyAlignment="1" applyProtection="1">
      <alignment horizontal="center" textRotation="90" wrapText="1"/>
      <protection locked="0"/>
    </xf>
    <xf numFmtId="0" fontId="0" fillId="0" borderId="37" xfId="0" applyFill="1" applyBorder="1" applyAlignment="1" applyProtection="1">
      <alignment horizontal="center" textRotation="90" wrapText="1"/>
    </xf>
    <xf numFmtId="0" fontId="0" fillId="0" borderId="48" xfId="0" applyFill="1" applyBorder="1" applyAlignment="1" applyProtection="1">
      <alignment horizontal="center" textRotation="90" wrapText="1"/>
    </xf>
    <xf numFmtId="0" fontId="0" fillId="0" borderId="49" xfId="0" applyFill="1" applyBorder="1" applyAlignment="1" applyProtection="1">
      <alignment horizontal="center" textRotation="90" wrapText="1"/>
    </xf>
    <xf numFmtId="0" fontId="24" fillId="0" borderId="0" xfId="0" applyFont="1" applyAlignment="1">
      <alignment horizontal="center"/>
    </xf>
    <xf numFmtId="0" fontId="24" fillId="0" borderId="50" xfId="0" applyFont="1" applyBorder="1" applyAlignment="1" applyProtection="1">
      <alignment horizontal="center" vertical="center" wrapText="1"/>
    </xf>
    <xf numFmtId="0" fontId="24" fillId="0" borderId="51" xfId="0" applyFont="1" applyBorder="1" applyAlignment="1" applyProtection="1">
      <alignment horizontal="center" vertical="center" wrapText="1"/>
    </xf>
    <xf numFmtId="0" fontId="24" fillId="0" borderId="52" xfId="0" applyFont="1" applyBorder="1" applyAlignment="1" applyProtection="1">
      <alignment horizontal="center" vertical="center" wrapText="1"/>
    </xf>
    <xf numFmtId="0" fontId="24" fillId="0" borderId="48" xfId="0" applyFont="1" applyBorder="1" applyAlignment="1" applyProtection="1">
      <alignment horizontal="center" vertical="center" wrapText="1"/>
    </xf>
    <xf numFmtId="0" fontId="24" fillId="0" borderId="49" xfId="0" applyFont="1" applyBorder="1" applyAlignment="1" applyProtection="1">
      <alignment horizontal="center" vertical="center" wrapText="1"/>
    </xf>
    <xf numFmtId="0" fontId="0" fillId="0" borderId="39" xfId="0" applyNumberFormat="1" applyFont="1" applyFill="1" applyBorder="1" applyAlignment="1" applyProtection="1">
      <alignment vertical="center" wrapText="1" shrinkToFit="1"/>
    </xf>
    <xf numFmtId="0" fontId="0" fillId="0" borderId="40" xfId="0" applyNumberFormat="1" applyFont="1" applyFill="1" applyBorder="1" applyAlignment="1" applyProtection="1">
      <alignment horizontal="left" vertical="center" wrapText="1"/>
    </xf>
    <xf numFmtId="0" fontId="0" fillId="0" borderId="40" xfId="0" applyNumberFormat="1" applyFont="1" applyFill="1" applyBorder="1" applyAlignment="1" applyProtection="1">
      <alignment horizontal="center" vertical="center" wrapText="1"/>
    </xf>
    <xf numFmtId="0" fontId="0" fillId="16" borderId="42" xfId="48" applyNumberFormat="1" applyFont="1" applyFill="1" applyBorder="1" applyAlignment="1" applyProtection="1">
      <alignment horizontal="left" vertical="center"/>
      <protection locked="0"/>
    </xf>
    <xf numFmtId="0" fontId="44" fillId="0" borderId="0" xfId="0" applyFont="1" applyAlignment="1">
      <alignment horizontal="center"/>
    </xf>
    <xf numFmtId="0" fontId="21" fillId="0" borderId="36" xfId="48" applyNumberFormat="1" applyFont="1" applyFill="1" applyBorder="1" applyAlignment="1" applyProtection="1">
      <alignment horizontal="center" vertical="center" wrapText="1" shrinkToFit="1"/>
    </xf>
    <xf numFmtId="0" fontId="21" fillId="0" borderId="42" xfId="48" applyNumberFormat="1" applyFont="1" applyFill="1" applyBorder="1" applyAlignment="1" applyProtection="1">
      <alignment vertical="center" wrapText="1" shrinkToFit="1"/>
    </xf>
    <xf numFmtId="171" fontId="0" fillId="6" borderId="39" xfId="48" applyFont="1" applyFill="1" applyBorder="1" applyAlignment="1" applyProtection="1">
      <alignment vertical="center" shrinkToFit="1"/>
      <protection locked="0"/>
    </xf>
    <xf numFmtId="171" fontId="0" fillId="6" borderId="40" xfId="48" applyFont="1" applyFill="1" applyBorder="1" applyAlignment="1" applyProtection="1">
      <alignment vertical="center" shrinkToFit="1"/>
      <protection locked="0"/>
    </xf>
    <xf numFmtId="171" fontId="0" fillId="6" borderId="41" xfId="48" applyFont="1" applyFill="1" applyBorder="1" applyAlignment="1" applyProtection="1">
      <alignment vertical="center" shrinkToFit="1"/>
      <protection locked="0"/>
    </xf>
    <xf numFmtId="1" fontId="0" fillId="0" borderId="53" xfId="48" applyNumberFormat="1" applyFont="1" applyFill="1" applyBorder="1" applyAlignment="1" applyProtection="1">
      <alignment horizontal="center" vertical="center" shrinkToFit="1"/>
    </xf>
    <xf numFmtId="1" fontId="0" fillId="0" borderId="54" xfId="48" applyNumberFormat="1" applyFont="1" applyFill="1" applyBorder="1" applyAlignment="1" applyProtection="1">
      <alignment horizontal="center" vertical="center" shrinkToFit="1"/>
    </xf>
    <xf numFmtId="0" fontId="24" fillId="17" borderId="32" xfId="0" applyNumberFormat="1" applyFont="1" applyFill="1" applyBorder="1" applyAlignment="1" applyProtection="1">
      <alignment horizontal="left" vertical="center"/>
    </xf>
    <xf numFmtId="0" fontId="24" fillId="14" borderId="32" xfId="0" applyNumberFormat="1" applyFont="1" applyFill="1" applyBorder="1" applyAlignment="1" applyProtection="1">
      <alignment horizontal="center" vertical="center"/>
    </xf>
    <xf numFmtId="0" fontId="24" fillId="17" borderId="32" xfId="0" applyNumberFormat="1" applyFont="1" applyFill="1" applyBorder="1" applyAlignment="1" applyProtection="1">
      <alignment horizontal="right" vertical="center"/>
    </xf>
    <xf numFmtId="4" fontId="24" fillId="17" borderId="55" xfId="0" applyNumberFormat="1" applyFont="1" applyFill="1" applyBorder="1" applyAlignment="1" applyProtection="1">
      <alignment horizontal="right" vertical="center" shrinkToFit="1"/>
    </xf>
    <xf numFmtId="4" fontId="24" fillId="17" borderId="56" xfId="0" applyNumberFormat="1" applyFont="1" applyFill="1" applyBorder="1" applyAlignment="1" applyProtection="1">
      <alignment horizontal="right" vertical="center" shrinkToFit="1"/>
    </xf>
    <xf numFmtId="4" fontId="24" fillId="17" borderId="57" xfId="0" applyNumberFormat="1" applyFont="1" applyFill="1" applyBorder="1" applyAlignment="1" applyProtection="1">
      <alignment horizontal="right" vertical="center" shrinkToFit="1"/>
    </xf>
    <xf numFmtId="4" fontId="24" fillId="17" borderId="37" xfId="0" applyNumberFormat="1" applyFont="1" applyFill="1" applyBorder="1" applyAlignment="1" applyProtection="1">
      <alignment horizontal="right" vertical="center" shrinkToFit="1"/>
    </xf>
    <xf numFmtId="0" fontId="24" fillId="17" borderId="37" xfId="0" applyNumberFormat="1" applyFont="1" applyFill="1" applyBorder="1" applyAlignment="1" applyProtection="1">
      <alignment horizontal="right" vertical="center" shrinkToFit="1"/>
    </xf>
    <xf numFmtId="0" fontId="0" fillId="18" borderId="13" xfId="0" applyFill="1" applyBorder="1"/>
    <xf numFmtId="0" fontId="0" fillId="4" borderId="45" xfId="0" applyFont="1" applyFill="1" applyBorder="1"/>
    <xf numFmtId="167" fontId="0" fillId="0" borderId="30" xfId="0" applyNumberFormat="1" applyFont="1" applyBorder="1" applyAlignment="1" applyProtection="1"/>
    <xf numFmtId="0" fontId="0" fillId="0" borderId="30" xfId="0" applyBorder="1"/>
    <xf numFmtId="0" fontId="0" fillId="0" borderId="0" xfId="33" applyFont="1" applyBorder="1" applyAlignment="1" applyProtection="1">
      <alignment vertical="center"/>
    </xf>
    <xf numFmtId="0" fontId="12" fillId="0" borderId="32" xfId="0" applyFont="1" applyBorder="1" applyProtection="1"/>
    <xf numFmtId="0" fontId="12" fillId="0" borderId="32" xfId="0" applyFont="1" applyBorder="1" applyAlignment="1" applyProtection="1">
      <alignment horizontal="center"/>
    </xf>
    <xf numFmtId="0" fontId="43" fillId="0" borderId="32" xfId="0" applyFont="1" applyBorder="1" applyAlignment="1">
      <alignment horizontal="center" vertical="center"/>
    </xf>
    <xf numFmtId="171" fontId="52" fillId="0" borderId="32" xfId="48" applyFill="1" applyBorder="1" applyAlignment="1" applyProtection="1"/>
    <xf numFmtId="0" fontId="43" fillId="18" borderId="32" xfId="0" applyFont="1" applyFill="1" applyBorder="1" applyAlignment="1">
      <alignment horizontal="center" vertical="center"/>
    </xf>
    <xf numFmtId="171" fontId="52" fillId="18" borderId="32" xfId="48" applyFill="1" applyBorder="1" applyAlignment="1" applyProtection="1"/>
    <xf numFmtId="0" fontId="0" fillId="18" borderId="45" xfId="0" applyFill="1" applyBorder="1"/>
    <xf numFmtId="0" fontId="0" fillId="18" borderId="46" xfId="0" applyFill="1" applyBorder="1"/>
    <xf numFmtId="0" fontId="43" fillId="0" borderId="0" xfId="34" applyFont="1" applyAlignment="1">
      <alignment horizontal="center"/>
    </xf>
    <xf numFmtId="0" fontId="43" fillId="0" borderId="0" xfId="34" applyFont="1"/>
    <xf numFmtId="165" fontId="0" fillId="0" borderId="0" xfId="49" applyFont="1" applyFill="1" applyBorder="1" applyAlignment="1" applyProtection="1">
      <alignment horizontal="center"/>
    </xf>
    <xf numFmtId="10" fontId="44" fillId="0" borderId="58" xfId="38" applyNumberFormat="1" applyFont="1" applyFill="1" applyBorder="1" applyAlignment="1" applyProtection="1">
      <alignment horizontal="center"/>
    </xf>
    <xf numFmtId="10" fontId="43" fillId="0" borderId="34" xfId="34" applyNumberFormat="1" applyFont="1" applyBorder="1" applyAlignment="1">
      <alignment horizontal="center"/>
    </xf>
    <xf numFmtId="172" fontId="43" fillId="0" borderId="59" xfId="34" applyNumberFormat="1" applyFont="1" applyBorder="1" applyAlignment="1">
      <alignment horizontal="left"/>
    </xf>
    <xf numFmtId="10" fontId="43" fillId="0" borderId="60" xfId="34" applyNumberFormat="1" applyFont="1" applyBorder="1" applyAlignment="1">
      <alignment horizontal="left"/>
    </xf>
    <xf numFmtId="1" fontId="43" fillId="0" borderId="60" xfId="34" applyNumberFormat="1" applyFont="1" applyBorder="1" applyAlignment="1">
      <alignment horizontal="center"/>
    </xf>
    <xf numFmtId="0" fontId="43" fillId="0" borderId="60" xfId="34" applyFont="1" applyBorder="1" applyAlignment="1">
      <alignment horizontal="center"/>
    </xf>
    <xf numFmtId="173" fontId="52" fillId="0" borderId="61" xfId="48" applyNumberFormat="1" applyFill="1" applyBorder="1" applyAlignment="1" applyProtection="1">
      <alignment horizontal="right" shrinkToFit="1"/>
    </xf>
    <xf numFmtId="173" fontId="0" fillId="0" borderId="34" xfId="48" applyNumberFormat="1" applyFont="1" applyFill="1" applyBorder="1" applyAlignment="1" applyProtection="1">
      <alignment horizontal="center" vertical="center"/>
    </xf>
    <xf numFmtId="10" fontId="44" fillId="0" borderId="62" xfId="38" applyNumberFormat="1" applyFont="1" applyFill="1" applyBorder="1" applyAlignment="1" applyProtection="1">
      <alignment horizontal="center"/>
    </xf>
    <xf numFmtId="10" fontId="44" fillId="0" borderId="63" xfId="38" applyNumberFormat="1" applyFont="1" applyFill="1" applyBorder="1" applyAlignment="1" applyProtection="1">
      <alignment horizontal="center"/>
    </xf>
    <xf numFmtId="0" fontId="43" fillId="0" borderId="31" xfId="34" applyFont="1" applyBorder="1" applyAlignment="1">
      <alignment horizontal="center"/>
    </xf>
    <xf numFmtId="0" fontId="43" fillId="0" borderId="64" xfId="34" applyFont="1" applyBorder="1"/>
    <xf numFmtId="0" fontId="31" fillId="0" borderId="64" xfId="34" applyFont="1" applyBorder="1" applyAlignment="1"/>
    <xf numFmtId="0" fontId="43" fillId="0" borderId="64" xfId="34" applyFont="1" applyBorder="1" applyAlignment="1">
      <alignment horizontal="center"/>
    </xf>
    <xf numFmtId="165" fontId="0" fillId="0" borderId="64" xfId="49" applyFont="1" applyFill="1" applyBorder="1" applyAlignment="1" applyProtection="1">
      <alignment horizontal="right" shrinkToFit="1"/>
    </xf>
    <xf numFmtId="173" fontId="0" fillId="0" borderId="31" xfId="48" applyNumberFormat="1" applyFont="1" applyFill="1" applyBorder="1" applyAlignment="1" applyProtection="1">
      <alignment horizontal="center" vertical="center"/>
    </xf>
    <xf numFmtId="165" fontId="45" fillId="0" borderId="65" xfId="49" applyFont="1" applyFill="1" applyBorder="1" applyAlignment="1" applyProtection="1">
      <alignment horizontal="center"/>
    </xf>
    <xf numFmtId="0" fontId="43" fillId="0" borderId="14" xfId="34" applyFont="1" applyBorder="1" applyAlignment="1">
      <alignment horizontal="center"/>
    </xf>
    <xf numFmtId="165" fontId="45" fillId="0" borderId="0" xfId="49" applyFont="1" applyFill="1" applyBorder="1" applyAlignment="1" applyProtection="1">
      <alignment horizontal="center"/>
    </xf>
    <xf numFmtId="165" fontId="0" fillId="0" borderId="14" xfId="49" applyFont="1" applyFill="1" applyBorder="1" applyAlignment="1" applyProtection="1">
      <alignment horizontal="center"/>
    </xf>
    <xf numFmtId="165" fontId="45" fillId="0" borderId="56" xfId="49" applyFont="1" applyFill="1" applyBorder="1" applyAlignment="1" applyProtection="1">
      <alignment horizontal="center"/>
    </xf>
    <xf numFmtId="165" fontId="45" fillId="0" borderId="57" xfId="49" applyFont="1" applyFill="1" applyBorder="1" applyAlignment="1" applyProtection="1">
      <alignment horizontal="center"/>
    </xf>
    <xf numFmtId="165" fontId="23" fillId="0" borderId="0" xfId="49" applyFont="1" applyFill="1" applyBorder="1" applyAlignment="1" applyProtection="1">
      <alignment horizontal="left"/>
    </xf>
    <xf numFmtId="0" fontId="43" fillId="0" borderId="0" xfId="34" applyFont="1" applyBorder="1"/>
    <xf numFmtId="0" fontId="43" fillId="0" borderId="0" xfId="34" applyFont="1" applyBorder="1" applyAlignment="1">
      <alignment horizontal="center"/>
    </xf>
    <xf numFmtId="0" fontId="38" fillId="0" borderId="0" xfId="0" applyFont="1" applyAlignment="1">
      <alignment horizontal="center" textRotation="90"/>
    </xf>
    <xf numFmtId="0" fontId="46" fillId="0" borderId="33" xfId="34" applyFont="1" applyBorder="1"/>
    <xf numFmtId="0" fontId="43" fillId="0" borderId="12" xfId="34" applyFont="1" applyBorder="1"/>
    <xf numFmtId="0" fontId="24" fillId="0" borderId="33" xfId="49" applyNumberFormat="1" applyFont="1" applyFill="1" applyBorder="1" applyAlignment="1" applyProtection="1">
      <alignment horizontal="left"/>
    </xf>
    <xf numFmtId="165" fontId="24" fillId="0" borderId="33" xfId="49" applyFont="1" applyFill="1" applyBorder="1" applyAlignment="1" applyProtection="1">
      <alignment horizontal="left"/>
    </xf>
    <xf numFmtId="165" fontId="0" fillId="0" borderId="12" xfId="49" applyFont="1" applyFill="1" applyBorder="1" applyAlignment="1" applyProtection="1">
      <alignment horizontal="center"/>
    </xf>
    <xf numFmtId="0" fontId="46" fillId="0" borderId="31" xfId="34" applyFont="1" applyBorder="1" applyAlignment="1">
      <alignment horizontal="center"/>
    </xf>
    <xf numFmtId="0" fontId="43" fillId="0" borderId="47" xfId="34" applyFont="1" applyBorder="1" applyAlignment="1"/>
    <xf numFmtId="0" fontId="43" fillId="0" borderId="14" xfId="34" applyNumberFormat="1" applyFont="1" applyBorder="1" applyAlignment="1">
      <alignment horizontal="center"/>
    </xf>
    <xf numFmtId="0" fontId="43" fillId="16" borderId="32" xfId="34" applyFont="1" applyFill="1" applyBorder="1" applyAlignment="1" applyProtection="1">
      <alignment horizontal="center"/>
      <protection locked="0"/>
    </xf>
    <xf numFmtId="0" fontId="43" fillId="0" borderId="30" xfId="34" applyFont="1" applyBorder="1" applyAlignment="1"/>
    <xf numFmtId="0" fontId="46" fillId="0" borderId="50" xfId="34" applyFont="1" applyBorder="1" applyAlignment="1">
      <alignment horizontal="center"/>
    </xf>
    <xf numFmtId="0" fontId="46" fillId="0" borderId="10" xfId="34" applyFont="1" applyBorder="1" applyAlignment="1">
      <alignment horizontal="left" vertical="center" wrapText="1"/>
    </xf>
    <xf numFmtId="0" fontId="43" fillId="0" borderId="10" xfId="34" applyFont="1" applyBorder="1" applyAlignment="1">
      <alignment horizontal="center" vertical="center"/>
    </xf>
    <xf numFmtId="0" fontId="46" fillId="0" borderId="51" xfId="34" applyFont="1" applyFill="1" applyBorder="1" applyAlignment="1" applyProtection="1">
      <alignment horizontal="center"/>
      <protection locked="0"/>
    </xf>
    <xf numFmtId="0" fontId="46" fillId="0" borderId="52" xfId="34" applyFont="1" applyBorder="1" applyAlignment="1">
      <alignment horizontal="center"/>
    </xf>
    <xf numFmtId="0" fontId="43" fillId="0" borderId="0" xfId="34" applyFont="1" applyAlignment="1">
      <alignment horizontal="center" wrapText="1"/>
    </xf>
    <xf numFmtId="174" fontId="46" fillId="0" borderId="55" xfId="34" applyNumberFormat="1" applyFont="1" applyBorder="1" applyAlignment="1">
      <alignment horizontal="center"/>
    </xf>
    <xf numFmtId="0" fontId="46" fillId="0" borderId="30" xfId="34" applyFont="1" applyBorder="1" applyAlignment="1">
      <alignment horizontal="left" vertical="center" wrapText="1"/>
    </xf>
    <xf numFmtId="0" fontId="43" fillId="0" borderId="30" xfId="34" applyFont="1" applyBorder="1" applyAlignment="1">
      <alignment horizontal="center" vertical="center"/>
    </xf>
    <xf numFmtId="0" fontId="43" fillId="0" borderId="30" xfId="34" applyFont="1" applyBorder="1" applyAlignment="1">
      <alignment horizontal="center" vertical="center" wrapText="1"/>
    </xf>
    <xf numFmtId="174" fontId="46" fillId="0" borderId="56" xfId="34" applyNumberFormat="1" applyFont="1" applyFill="1" applyBorder="1" applyAlignment="1" applyProtection="1">
      <alignment horizontal="center"/>
      <protection locked="0"/>
    </xf>
    <xf numFmtId="174" fontId="46" fillId="0" borderId="57" xfId="34" applyNumberFormat="1" applyFont="1" applyBorder="1" applyAlignment="1">
      <alignment horizontal="center"/>
    </xf>
    <xf numFmtId="10" fontId="0" fillId="0" borderId="54" xfId="38" applyNumberFormat="1" applyFont="1" applyFill="1" applyBorder="1" applyAlignment="1" applyProtection="1"/>
    <xf numFmtId="0" fontId="43" fillId="8" borderId="34" xfId="34" applyFont="1" applyFill="1" applyBorder="1"/>
    <xf numFmtId="165" fontId="24" fillId="0" borderId="0" xfId="49" applyFont="1" applyFill="1" applyBorder="1" applyAlignment="1" applyProtection="1">
      <alignment horizontal="center" shrinkToFit="1"/>
    </xf>
    <xf numFmtId="165" fontId="0" fillId="8" borderId="66" xfId="49" applyFont="1" applyFill="1" applyBorder="1" applyAlignment="1" applyProtection="1">
      <alignment horizontal="center"/>
    </xf>
    <xf numFmtId="165" fontId="0" fillId="8" borderId="67" xfId="49" applyFont="1" applyFill="1" applyBorder="1" applyAlignment="1" applyProtection="1">
      <alignment horizontal="right"/>
    </xf>
    <xf numFmtId="10" fontId="0" fillId="8" borderId="53" xfId="38" applyNumberFormat="1" applyFont="1" applyFill="1" applyBorder="1" applyAlignment="1" applyProtection="1"/>
    <xf numFmtId="10" fontId="0" fillId="8" borderId="54" xfId="38" applyNumberFormat="1" applyFont="1" applyFill="1" applyBorder="1" applyAlignment="1" applyProtection="1"/>
    <xf numFmtId="10" fontId="0" fillId="8" borderId="68" xfId="38" applyNumberFormat="1" applyFont="1" applyFill="1" applyBorder="1" applyAlignment="1" applyProtection="1"/>
    <xf numFmtId="171" fontId="52" fillId="0" borderId="40" xfId="48" applyFill="1" applyBorder="1" applyAlignment="1" applyProtection="1">
      <alignment shrinkToFit="1"/>
    </xf>
    <xf numFmtId="0" fontId="43" fillId="8" borderId="31" xfId="34" applyFont="1" applyFill="1" applyBorder="1"/>
    <xf numFmtId="165" fontId="0" fillId="0" borderId="38" xfId="49" applyFont="1" applyFill="1" applyBorder="1" applyAlignment="1" applyProtection="1">
      <alignment horizontal="center"/>
    </xf>
    <xf numFmtId="165" fontId="0" fillId="0" borderId="69" xfId="49" applyFont="1" applyFill="1" applyBorder="1" applyAlignment="1" applyProtection="1">
      <alignment horizontal="right"/>
    </xf>
    <xf numFmtId="171" fontId="52" fillId="0" borderId="39" xfId="48" applyFill="1" applyBorder="1" applyAlignment="1" applyProtection="1">
      <alignment shrinkToFit="1"/>
    </xf>
    <xf numFmtId="171" fontId="52" fillId="0" borderId="41" xfId="48" applyFill="1" applyBorder="1" applyAlignment="1" applyProtection="1">
      <alignment shrinkToFit="1"/>
    </xf>
    <xf numFmtId="0" fontId="46" fillId="0" borderId="0" xfId="34" applyFont="1" applyAlignment="1">
      <alignment horizontal="left"/>
    </xf>
    <xf numFmtId="0" fontId="43" fillId="8" borderId="31" xfId="34" applyFont="1" applyFill="1" applyBorder="1" applyAlignment="1">
      <alignment horizontal="center"/>
    </xf>
    <xf numFmtId="165" fontId="0" fillId="8" borderId="38" xfId="49" applyFont="1" applyFill="1" applyBorder="1" applyAlignment="1" applyProtection="1">
      <alignment horizontal="center"/>
    </xf>
    <xf numFmtId="165" fontId="0" fillId="8" borderId="69" xfId="49" applyFont="1" applyFill="1" applyBorder="1" applyAlignment="1" applyProtection="1">
      <alignment horizontal="right"/>
    </xf>
    <xf numFmtId="171" fontId="52" fillId="8" borderId="39" xfId="48" applyFill="1" applyBorder="1" applyAlignment="1" applyProtection="1">
      <alignment shrinkToFit="1"/>
    </xf>
    <xf numFmtId="171" fontId="52" fillId="8" borderId="40" xfId="48" applyFill="1" applyBorder="1" applyAlignment="1" applyProtection="1">
      <alignment shrinkToFit="1"/>
    </xf>
    <xf numFmtId="171" fontId="52" fillId="8" borderId="41" xfId="48" applyFill="1" applyBorder="1" applyAlignment="1" applyProtection="1">
      <alignment shrinkToFit="1"/>
    </xf>
    <xf numFmtId="171" fontId="52" fillId="0" borderId="43" xfId="48" applyFill="1" applyBorder="1" applyAlignment="1" applyProtection="1">
      <alignment shrinkToFit="1"/>
    </xf>
    <xf numFmtId="165" fontId="0" fillId="0" borderId="59" xfId="49" applyFont="1" applyFill="1" applyBorder="1" applyAlignment="1" applyProtection="1">
      <alignment horizontal="center"/>
    </xf>
    <xf numFmtId="165" fontId="0" fillId="0" borderId="61" xfId="49" applyFont="1" applyFill="1" applyBorder="1" applyAlignment="1" applyProtection="1">
      <alignment horizontal="right"/>
    </xf>
    <xf numFmtId="171" fontId="52" fillId="0" borderId="70" xfId="48" applyFill="1" applyBorder="1" applyAlignment="1" applyProtection="1">
      <alignment shrinkToFit="1"/>
    </xf>
    <xf numFmtId="171" fontId="52" fillId="0" borderId="44" xfId="48" applyFill="1" applyBorder="1" applyAlignment="1" applyProtection="1">
      <alignment shrinkToFit="1"/>
    </xf>
    <xf numFmtId="165" fontId="24" fillId="0" borderId="71" xfId="49" applyFont="1" applyFill="1" applyBorder="1" applyAlignment="1" applyProtection="1">
      <alignment shrinkToFit="1"/>
    </xf>
    <xf numFmtId="0" fontId="43" fillId="8" borderId="14" xfId="34" applyFont="1" applyFill="1" applyBorder="1"/>
    <xf numFmtId="165" fontId="24" fillId="8" borderId="72" xfId="49" applyFont="1" applyFill="1" applyBorder="1" applyAlignment="1" applyProtection="1">
      <alignment horizontal="center"/>
    </xf>
    <xf numFmtId="165" fontId="24" fillId="8" borderId="73" xfId="49" applyFont="1" applyFill="1" applyBorder="1" applyAlignment="1" applyProtection="1">
      <alignment horizontal="right"/>
    </xf>
    <xf numFmtId="165" fontId="24" fillId="8" borderId="74" xfId="49" applyFont="1" applyFill="1" applyBorder="1" applyAlignment="1" applyProtection="1">
      <alignment shrinkToFit="1"/>
    </xf>
    <xf numFmtId="165" fontId="24" fillId="8" borderId="71" xfId="49" applyFont="1" applyFill="1" applyBorder="1" applyAlignment="1" applyProtection="1">
      <alignment shrinkToFit="1"/>
    </xf>
    <xf numFmtId="165" fontId="24" fillId="8" borderId="75" xfId="49" applyFont="1" applyFill="1" applyBorder="1" applyAlignment="1" applyProtection="1">
      <alignment shrinkToFit="1"/>
    </xf>
    <xf numFmtId="0" fontId="0" fillId="0" borderId="30" xfId="0" applyFont="1" applyBorder="1"/>
    <xf numFmtId="0" fontId="43" fillId="0" borderId="30" xfId="34" applyFont="1" applyBorder="1" applyAlignment="1">
      <alignment horizontal="center"/>
    </xf>
    <xf numFmtId="165" fontId="0" fillId="0" borderId="30" xfId="49" applyFont="1" applyFill="1" applyBorder="1" applyAlignment="1" applyProtection="1">
      <alignment horizontal="center"/>
    </xf>
    <xf numFmtId="0" fontId="24" fillId="0" borderId="0" xfId="0" applyFont="1" applyBorder="1"/>
    <xf numFmtId="0" fontId="0" fillId="0" borderId="40" xfId="0" applyBorder="1" applyAlignment="1">
      <alignment horizontal="center"/>
    </xf>
    <xf numFmtId="0" fontId="0" fillId="0" borderId="40" xfId="0" applyBorder="1" applyAlignment="1">
      <alignment horizontal="left"/>
    </xf>
    <xf numFmtId="1" fontId="0" fillId="6" borderId="40" xfId="0" applyNumberFormat="1" applyFill="1" applyBorder="1" applyAlignment="1" applyProtection="1">
      <alignment horizontal="center"/>
      <protection locked="0"/>
    </xf>
    <xf numFmtId="0" fontId="20" fillId="0" borderId="0" xfId="0" applyFont="1"/>
    <xf numFmtId="0" fontId="0" fillId="0" borderId="0" xfId="0" applyFont="1" applyAlignment="1">
      <alignment textRotation="90"/>
    </xf>
    <xf numFmtId="4" fontId="0" fillId="0" borderId="0" xfId="0" applyNumberFormat="1"/>
    <xf numFmtId="175" fontId="48" fillId="8" borderId="1" xfId="0" applyNumberFormat="1" applyFont="1" applyFill="1" applyBorder="1" applyAlignment="1">
      <alignment horizontal="center" textRotation="90" wrapText="1"/>
    </xf>
    <xf numFmtId="0" fontId="24" fillId="8" borderId="1" xfId="0" applyFont="1" applyFill="1" applyBorder="1" applyAlignment="1">
      <alignment horizontal="center"/>
    </xf>
    <xf numFmtId="0" fontId="24" fillId="8" borderId="76" xfId="0" applyFont="1" applyFill="1" applyBorder="1" applyAlignment="1"/>
    <xf numFmtId="0" fontId="24" fillId="8" borderId="77" xfId="0" applyFont="1" applyFill="1" applyBorder="1" applyAlignment="1"/>
    <xf numFmtId="0" fontId="24" fillId="8" borderId="78" xfId="0" applyFont="1" applyFill="1" applyBorder="1" applyAlignment="1"/>
    <xf numFmtId="0" fontId="0" fillId="18" borderId="40" xfId="0" applyFill="1" applyBorder="1" applyAlignment="1">
      <alignment horizontal="center"/>
    </xf>
    <xf numFmtId="0" fontId="0" fillId="18" borderId="40" xfId="0" applyFont="1" applyFill="1" applyBorder="1"/>
    <xf numFmtId="0" fontId="0" fillId="8" borderId="79" xfId="0" applyFill="1" applyBorder="1"/>
    <xf numFmtId="0" fontId="0" fillId="8" borderId="80" xfId="0" applyFont="1" applyFill="1" applyBorder="1"/>
    <xf numFmtId="0" fontId="0" fillId="8" borderId="81" xfId="0" applyFill="1" applyBorder="1"/>
    <xf numFmtId="0" fontId="43" fillId="19" borderId="32" xfId="34" applyFont="1" applyFill="1" applyBorder="1" applyAlignment="1">
      <alignment horizontal="center"/>
    </xf>
    <xf numFmtId="0" fontId="46" fillId="0" borderId="12" xfId="34" applyFont="1" applyBorder="1"/>
    <xf numFmtId="0" fontId="43" fillId="0" borderId="12" xfId="34" applyFont="1" applyBorder="1" applyAlignment="1">
      <alignment horizontal="center"/>
    </xf>
    <xf numFmtId="0" fontId="0" fillId="0" borderId="33" xfId="0" applyBorder="1"/>
    <xf numFmtId="0" fontId="49" fillId="0" borderId="0" xfId="0" applyFont="1"/>
    <xf numFmtId="0" fontId="24" fillId="0" borderId="0" xfId="0" applyFont="1" applyAlignment="1">
      <alignment horizontal="right"/>
    </xf>
    <xf numFmtId="0" fontId="23" fillId="0" borderId="33" xfId="0" applyFont="1" applyBorder="1" applyAlignment="1"/>
    <xf numFmtId="0" fontId="0" fillId="4" borderId="13" xfId="0" applyFill="1" applyBorder="1"/>
    <xf numFmtId="0" fontId="24" fillId="8" borderId="32" xfId="0" applyFont="1" applyFill="1" applyBorder="1" applyAlignment="1">
      <alignment horizontal="center"/>
    </xf>
    <xf numFmtId="0" fontId="24" fillId="0" borderId="34" xfId="0" applyFont="1" applyBorder="1" applyAlignment="1">
      <alignment horizontal="center"/>
    </xf>
    <xf numFmtId="0" fontId="24" fillId="0" borderId="14" xfId="0" applyFont="1" applyBorder="1" applyAlignment="1">
      <alignment horizontal="center"/>
    </xf>
    <xf numFmtId="0" fontId="0" fillId="0" borderId="0" xfId="33" applyNumberFormat="1" applyFont="1" applyFill="1" applyBorder="1" applyAlignment="1" applyProtection="1">
      <alignment horizontal="left" vertical="top"/>
    </xf>
    <xf numFmtId="0" fontId="0" fillId="0" borderId="0" xfId="0" applyAlignment="1">
      <alignment horizontal="left"/>
    </xf>
    <xf numFmtId="0" fontId="23" fillId="0" borderId="0" xfId="0" applyFont="1" applyAlignment="1">
      <alignment horizontal="left" vertical="center" indent="2"/>
    </xf>
    <xf numFmtId="0" fontId="0" fillId="0" borderId="32" xfId="0" applyFont="1" applyFill="1" applyBorder="1" applyAlignment="1" applyProtection="1"/>
    <xf numFmtId="10" fontId="0" fillId="0" borderId="32" xfId="0" applyNumberFormat="1" applyFont="1" applyBorder="1" applyAlignment="1" applyProtection="1">
      <alignment horizontal="center" vertical="center" wrapText="1"/>
    </xf>
    <xf numFmtId="0" fontId="24" fillId="0" borderId="31" xfId="0" applyFont="1" applyBorder="1"/>
    <xf numFmtId="0" fontId="0" fillId="0" borderId="14" xfId="0" applyBorder="1"/>
    <xf numFmtId="4" fontId="0" fillId="0" borderId="14" xfId="33" applyNumberFormat="1" applyFont="1" applyFill="1" applyBorder="1" applyAlignment="1" applyProtection="1">
      <alignment vertical="top" wrapText="1"/>
    </xf>
    <xf numFmtId="0" fontId="0" fillId="0" borderId="0" xfId="33" applyFont="1" applyFill="1" applyBorder="1" applyAlignment="1" applyProtection="1">
      <alignment vertical="top" wrapText="1"/>
    </xf>
    <xf numFmtId="0" fontId="21" fillId="0" borderId="34" xfId="0" applyFont="1" applyBorder="1" applyAlignment="1">
      <alignment horizontal="center"/>
    </xf>
    <xf numFmtId="178" fontId="0" fillId="0" borderId="47" xfId="0" applyNumberFormat="1" applyBorder="1" applyAlignment="1">
      <alignment horizontal="center" vertical="center"/>
    </xf>
    <xf numFmtId="178" fontId="0" fillId="0" borderId="14" xfId="0" applyNumberFormat="1" applyBorder="1" applyAlignment="1">
      <alignment horizontal="center" vertical="center"/>
    </xf>
    <xf numFmtId="179" fontId="24" fillId="0" borderId="39" xfId="0" applyNumberFormat="1" applyFont="1" applyBorder="1" applyAlignment="1">
      <alignment horizontal="center" vertical="center"/>
    </xf>
    <xf numFmtId="49" fontId="0" fillId="16" borderId="40" xfId="0" applyNumberFormat="1" applyFill="1" applyBorder="1" applyAlignment="1" applyProtection="1">
      <alignment horizontal="center" vertical="center" wrapText="1"/>
      <protection locked="0"/>
    </xf>
    <xf numFmtId="0" fontId="0" fillId="0" borderId="40" xfId="0" applyBorder="1" applyAlignment="1">
      <alignment horizontal="center" vertical="center"/>
    </xf>
    <xf numFmtId="178" fontId="0" fillId="0" borderId="38" xfId="0" applyNumberFormat="1" applyBorder="1" applyAlignment="1">
      <alignment horizontal="center" vertical="center"/>
    </xf>
    <xf numFmtId="178" fontId="0" fillId="0" borderId="79" xfId="0" applyNumberFormat="1" applyBorder="1" applyAlignment="1">
      <alignment horizontal="center" vertical="center"/>
    </xf>
    <xf numFmtId="178" fontId="0" fillId="0" borderId="69" xfId="0" applyNumberFormat="1" applyBorder="1" applyAlignment="1">
      <alignment horizontal="center" vertical="center"/>
    </xf>
    <xf numFmtId="178" fontId="0" fillId="0" borderId="42" xfId="0" applyNumberFormat="1" applyBorder="1" applyAlignment="1">
      <alignment horizontal="center" vertical="center"/>
    </xf>
    <xf numFmtId="49" fontId="0" fillId="6" borderId="70" xfId="0" applyNumberFormat="1" applyFill="1" applyBorder="1" applyAlignment="1" applyProtection="1">
      <alignment horizontal="center"/>
      <protection locked="0"/>
    </xf>
    <xf numFmtId="178" fontId="0" fillId="6" borderId="70" xfId="0" applyNumberFormat="1" applyFill="1" applyBorder="1" applyAlignment="1" applyProtection="1">
      <alignment horizontal="center" vertical="center"/>
      <protection locked="0"/>
    </xf>
    <xf numFmtId="178" fontId="0" fillId="6" borderId="43" xfId="0" applyNumberFormat="1" applyFill="1" applyBorder="1" applyAlignment="1" applyProtection="1">
      <alignment horizontal="center" vertical="center"/>
      <protection locked="0"/>
    </xf>
    <xf numFmtId="178" fontId="0" fillId="6" borderId="44" xfId="0" applyNumberFormat="1" applyFill="1" applyBorder="1" applyAlignment="1" applyProtection="1">
      <alignment horizontal="center" vertical="center"/>
      <protection locked="0"/>
    </xf>
    <xf numFmtId="0" fontId="0" fillId="0" borderId="0" xfId="0" applyNumberFormat="1"/>
    <xf numFmtId="4" fontId="0" fillId="0" borderId="0" xfId="31" applyNumberFormat="1" applyFont="1" applyFill="1" applyBorder="1" applyAlignment="1" applyProtection="1">
      <alignment vertical="center" wrapText="1"/>
    </xf>
    <xf numFmtId="0" fontId="0" fillId="0" borderId="0" xfId="0" applyAlignment="1">
      <alignment wrapText="1"/>
    </xf>
    <xf numFmtId="0" fontId="24" fillId="0" borderId="0" xfId="0" applyFont="1" applyAlignment="1">
      <alignment wrapText="1"/>
    </xf>
    <xf numFmtId="0" fontId="24" fillId="0" borderId="13" xfId="0" applyFont="1" applyBorder="1" applyAlignment="1" applyProtection="1">
      <alignment horizontal="center" vertical="center" wrapText="1"/>
    </xf>
    <xf numFmtId="0" fontId="24" fillId="0" borderId="45" xfId="0" applyFont="1" applyBorder="1" applyAlignment="1" applyProtection="1">
      <alignment horizontal="center" vertical="center" wrapText="1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34" xfId="0" applyFont="1" applyBorder="1" applyAlignment="1" applyProtection="1">
      <alignment horizontal="center" vertical="center" wrapText="1"/>
    </xf>
    <xf numFmtId="0" fontId="24" fillId="0" borderId="11" xfId="0" applyFont="1" applyBorder="1" applyAlignment="1" applyProtection="1">
      <alignment horizontal="center" vertical="center" wrapText="1"/>
    </xf>
    <xf numFmtId="0" fontId="0" fillId="8" borderId="82" xfId="0" applyFill="1" applyBorder="1"/>
    <xf numFmtId="0" fontId="0" fillId="8" borderId="10" xfId="0" applyFill="1" applyBorder="1"/>
    <xf numFmtId="178" fontId="17" fillId="8" borderId="82" xfId="0" applyNumberFormat="1" applyFont="1" applyFill="1" applyBorder="1" applyAlignment="1">
      <alignment horizontal="center" vertical="center"/>
    </xf>
    <xf numFmtId="178" fontId="17" fillId="8" borderId="10" xfId="0" applyNumberFormat="1" applyFont="1" applyFill="1" applyBorder="1" applyAlignment="1">
      <alignment horizontal="center" vertical="center"/>
    </xf>
    <xf numFmtId="178" fontId="17" fillId="8" borderId="11" xfId="0" applyNumberFormat="1" applyFont="1" applyFill="1" applyBorder="1" applyAlignment="1">
      <alignment horizontal="center" vertical="center"/>
    </xf>
    <xf numFmtId="178" fontId="17" fillId="8" borderId="34" xfId="0" applyNumberFormat="1" applyFont="1" applyFill="1" applyBorder="1" applyAlignment="1">
      <alignment horizontal="center" vertical="center"/>
    </xf>
    <xf numFmtId="0" fontId="0" fillId="18" borderId="34" xfId="0" applyFill="1" applyBorder="1"/>
    <xf numFmtId="0" fontId="0" fillId="18" borderId="34" xfId="0" applyFill="1" applyBorder="1" applyAlignment="1">
      <alignment horizontal="center"/>
    </xf>
    <xf numFmtId="0" fontId="0" fillId="18" borderId="82" xfId="0" applyFill="1" applyBorder="1"/>
    <xf numFmtId="0" fontId="0" fillId="18" borderId="10" xfId="0" applyFill="1" applyBorder="1" applyAlignment="1">
      <alignment horizontal="center"/>
    </xf>
    <xf numFmtId="0" fontId="0" fillId="18" borderId="10" xfId="0" applyFill="1" applyBorder="1"/>
    <xf numFmtId="0" fontId="0" fillId="18" borderId="11" xfId="0" applyFill="1" applyBorder="1"/>
    <xf numFmtId="0" fontId="0" fillId="0" borderId="32" xfId="0" applyBorder="1"/>
    <xf numFmtId="0" fontId="0" fillId="8" borderId="47" xfId="0" applyFill="1" applyBorder="1"/>
    <xf numFmtId="0" fontId="0" fillId="8" borderId="30" xfId="0" applyFill="1" applyBorder="1"/>
    <xf numFmtId="181" fontId="8" fillId="8" borderId="47" xfId="0" applyNumberFormat="1" applyFont="1" applyFill="1" applyBorder="1" applyAlignment="1">
      <alignment horizontal="center"/>
    </xf>
    <xf numFmtId="181" fontId="8" fillId="8" borderId="30" xfId="0" applyNumberFormat="1" applyFont="1" applyFill="1" applyBorder="1" applyAlignment="1">
      <alignment horizontal="center"/>
    </xf>
    <xf numFmtId="181" fontId="8" fillId="8" borderId="29" xfId="0" applyNumberFormat="1" applyFont="1" applyFill="1" applyBorder="1" applyAlignment="1">
      <alignment horizontal="center"/>
    </xf>
    <xf numFmtId="181" fontId="8" fillId="8" borderId="14" xfId="0" applyNumberFormat="1" applyFont="1" applyFill="1" applyBorder="1" applyAlignment="1">
      <alignment horizontal="center"/>
    </xf>
    <xf numFmtId="0" fontId="0" fillId="18" borderId="14" xfId="0" applyFill="1" applyBorder="1"/>
    <xf numFmtId="0" fontId="0" fillId="18" borderId="14" xfId="0" applyFill="1" applyBorder="1" applyAlignment="1">
      <alignment horizontal="center"/>
    </xf>
    <xf numFmtId="0" fontId="0" fillId="18" borderId="47" xfId="0" applyFill="1" applyBorder="1"/>
    <xf numFmtId="0" fontId="0" fillId="18" borderId="30" xfId="0" applyFill="1" applyBorder="1" applyAlignment="1">
      <alignment horizontal="center"/>
    </xf>
    <xf numFmtId="0" fontId="0" fillId="18" borderId="30" xfId="0" applyFill="1" applyBorder="1"/>
    <xf numFmtId="0" fontId="0" fillId="18" borderId="29" xfId="0" applyFill="1" applyBorder="1"/>
    <xf numFmtId="0" fontId="23" fillId="0" borderId="0" xfId="0" applyFont="1" applyAlignment="1">
      <alignment horizontal="left" vertical="center" indent="12"/>
    </xf>
    <xf numFmtId="0" fontId="0" fillId="0" borderId="0" xfId="0" applyFont="1" applyFill="1" applyAlignment="1">
      <alignment horizontal="center" vertical="top"/>
    </xf>
    <xf numFmtId="0" fontId="0" fillId="0" borderId="82" xfId="0" applyFont="1" applyBorder="1"/>
    <xf numFmtId="0" fontId="0" fillId="0" borderId="11" xfId="0" applyBorder="1"/>
    <xf numFmtId="0" fontId="36" fillId="0" borderId="0" xfId="0" applyFont="1" applyAlignment="1">
      <alignment horizontal="left" vertical="center" indent="12"/>
    </xf>
    <xf numFmtId="0" fontId="0" fillId="0" borderId="47" xfId="33" applyFont="1" applyFill="1" applyBorder="1" applyAlignment="1" applyProtection="1">
      <alignment vertical="top" wrapText="1"/>
    </xf>
    <xf numFmtId="182" fontId="0" fillId="0" borderId="29" xfId="33" applyNumberFormat="1" applyFont="1" applyFill="1" applyBorder="1" applyAlignment="1" applyProtection="1">
      <alignment horizontal="left" vertical="top" wrapText="1"/>
    </xf>
    <xf numFmtId="0" fontId="0" fillId="0" borderId="34" xfId="0" applyFont="1" applyBorder="1"/>
    <xf numFmtId="0" fontId="0" fillId="0" borderId="31" xfId="0" applyBorder="1"/>
    <xf numFmtId="49" fontId="0" fillId="0" borderId="14" xfId="33" applyNumberFormat="1" applyFont="1" applyFill="1" applyBorder="1" applyAlignment="1" applyProtection="1">
      <alignment vertical="top" wrapText="1"/>
    </xf>
    <xf numFmtId="0" fontId="23" fillId="0" borderId="47" xfId="0" applyFont="1" applyBorder="1"/>
    <xf numFmtId="14" fontId="24" fillId="6" borderId="37" xfId="0" applyNumberFormat="1" applyFont="1" applyFill="1" applyBorder="1" applyAlignment="1" applyProtection="1">
      <alignment horizontal="center" vertical="center" wrapText="1"/>
      <protection locked="0"/>
    </xf>
    <xf numFmtId="14" fontId="24" fillId="6" borderId="48" xfId="0" applyNumberFormat="1" applyFont="1" applyFill="1" applyBorder="1" applyAlignment="1" applyProtection="1">
      <alignment horizontal="center" vertical="center" wrapText="1"/>
      <protection locked="0"/>
    </xf>
    <xf numFmtId="14" fontId="24" fillId="6" borderId="49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34" xfId="0" applyFont="1" applyBorder="1" applyAlignment="1" applyProtection="1">
      <alignment horizontal="center" vertical="center"/>
    </xf>
    <xf numFmtId="0" fontId="24" fillId="0" borderId="0" xfId="0" applyFont="1" applyBorder="1" applyAlignment="1" applyProtection="1">
      <alignment horizontal="center" vertical="center" wrapText="1"/>
    </xf>
    <xf numFmtId="183" fontId="24" fillId="8" borderId="34" xfId="0" applyNumberFormat="1" applyFont="1" applyFill="1" applyBorder="1" applyAlignment="1" applyProtection="1">
      <alignment horizontal="center" vertical="center" wrapText="1"/>
    </xf>
    <xf numFmtId="171" fontId="0" fillId="0" borderId="38" xfId="48" applyNumberFormat="1" applyFont="1" applyFill="1" applyBorder="1" applyAlignment="1" applyProtection="1">
      <alignment vertical="center" shrinkToFit="1"/>
    </xf>
    <xf numFmtId="171" fontId="0" fillId="0" borderId="69" xfId="48" applyNumberFormat="1" applyFont="1" applyFill="1" applyBorder="1" applyAlignment="1" applyProtection="1">
      <alignment vertical="center" shrinkToFit="1"/>
    </xf>
    <xf numFmtId="171" fontId="0" fillId="0" borderId="39" xfId="48" applyNumberFormat="1" applyFont="1" applyFill="1" applyBorder="1" applyAlignment="1" applyProtection="1">
      <alignment horizontal="center" vertical="center" shrinkToFit="1"/>
    </xf>
    <xf numFmtId="171" fontId="0" fillId="0" borderId="40" xfId="48" applyNumberFormat="1" applyFont="1" applyFill="1" applyBorder="1" applyAlignment="1" applyProtection="1">
      <alignment horizontal="center" vertical="center" shrinkToFit="1"/>
    </xf>
    <xf numFmtId="171" fontId="0" fillId="6" borderId="39" xfId="48" applyFont="1" applyFill="1" applyBorder="1" applyAlignment="1" applyProtection="1">
      <protection locked="0"/>
    </xf>
    <xf numFmtId="171" fontId="0" fillId="6" borderId="41" xfId="48" applyFont="1" applyFill="1" applyBorder="1" applyAlignment="1" applyProtection="1">
      <protection locked="0"/>
    </xf>
    <xf numFmtId="165" fontId="0" fillId="0" borderId="40" xfId="0" applyNumberFormat="1" applyBorder="1"/>
    <xf numFmtId="171" fontId="24" fillId="17" borderId="14" xfId="48" applyNumberFormat="1" applyFont="1" applyFill="1" applyBorder="1" applyAlignment="1" applyProtection="1">
      <alignment horizontal="center" vertical="center"/>
    </xf>
    <xf numFmtId="171" fontId="24" fillId="17" borderId="14" xfId="48" applyNumberFormat="1" applyFont="1" applyFill="1" applyBorder="1" applyAlignment="1" applyProtection="1">
      <alignment horizontal="center" vertical="center" shrinkToFit="1"/>
    </xf>
    <xf numFmtId="0" fontId="0" fillId="17" borderId="42" xfId="0" applyFill="1" applyBorder="1"/>
    <xf numFmtId="0" fontId="0" fillId="17" borderId="35" xfId="0" applyFill="1" applyBorder="1"/>
    <xf numFmtId="0" fontId="0" fillId="17" borderId="64" xfId="0" applyFill="1" applyBorder="1"/>
    <xf numFmtId="0" fontId="0" fillId="17" borderId="83" xfId="0" applyFill="1" applyBorder="1"/>
    <xf numFmtId="0" fontId="23" fillId="0" borderId="0" xfId="0" applyFont="1" applyAlignment="1">
      <alignment horizontal="left" vertical="center" indent="15"/>
    </xf>
    <xf numFmtId="0" fontId="0" fillId="0" borderId="13" xfId="0" applyFont="1" applyFill="1" applyBorder="1" applyAlignment="1" applyProtection="1">
      <alignment horizontal="center" wrapText="1"/>
    </xf>
    <xf numFmtId="0" fontId="0" fillId="0" borderId="46" xfId="0" applyFont="1" applyFill="1" applyBorder="1" applyAlignment="1" applyProtection="1">
      <alignment horizontal="center" wrapText="1"/>
    </xf>
    <xf numFmtId="0" fontId="24" fillId="0" borderId="32" xfId="0" applyFont="1" applyFill="1" applyBorder="1" applyAlignment="1" applyProtection="1">
      <alignment horizontal="right" vertical="center" wrapText="1"/>
    </xf>
    <xf numFmtId="184" fontId="24" fillId="0" borderId="32" xfId="31" applyNumberFormat="1" applyFont="1" applyFill="1" applyBorder="1" applyAlignment="1" applyProtection="1">
      <alignment horizontal="right" vertical="center" shrinkToFit="1"/>
    </xf>
    <xf numFmtId="0" fontId="0" fillId="0" borderId="0" xfId="0" applyBorder="1" applyAlignment="1"/>
    <xf numFmtId="0" fontId="24" fillId="0" borderId="12" xfId="35" applyFont="1" applyBorder="1" applyAlignment="1" applyProtection="1"/>
    <xf numFmtId="0" fontId="0" fillId="0" borderId="29" xfId="0" applyBorder="1" applyAlignment="1">
      <alignment shrinkToFit="1"/>
    </xf>
    <xf numFmtId="0" fontId="0" fillId="0" borderId="31" xfId="33" applyFont="1" applyFill="1" applyBorder="1" applyAlignment="1" applyProtection="1">
      <alignment vertical="top" wrapText="1"/>
    </xf>
    <xf numFmtId="4" fontId="0" fillId="0" borderId="14" xfId="33" applyNumberFormat="1" applyFont="1" applyFill="1" applyBorder="1" applyAlignment="1" applyProtection="1">
      <alignment horizontal="left" vertical="top" wrapText="1"/>
    </xf>
    <xf numFmtId="4" fontId="0" fillId="0" borderId="47" xfId="33" applyNumberFormat="1" applyFont="1" applyFill="1" applyBorder="1" applyAlignment="1" applyProtection="1">
      <alignment horizontal="left" vertical="top" wrapText="1"/>
    </xf>
    <xf numFmtId="0" fontId="22" fillId="0" borderId="0" xfId="0" applyFont="1" applyAlignment="1">
      <alignment wrapText="1"/>
    </xf>
    <xf numFmtId="0" fontId="21" fillId="0" borderId="11" xfId="0" applyFont="1" applyBorder="1" applyAlignment="1">
      <alignment horizontal="center"/>
    </xf>
    <xf numFmtId="0" fontId="50" fillId="0" borderId="0" xfId="0" applyFont="1" applyBorder="1" applyAlignment="1" applyProtection="1">
      <alignment horizontal="center" vertical="center" wrapText="1"/>
    </xf>
    <xf numFmtId="170" fontId="24" fillId="0" borderId="47" xfId="0" applyNumberFormat="1" applyFont="1" applyBorder="1" applyAlignment="1" applyProtection="1">
      <alignment horizontal="center"/>
    </xf>
    <xf numFmtId="10" fontId="24" fillId="0" borderId="29" xfId="0" applyNumberFormat="1" applyFont="1" applyFill="1" applyBorder="1" applyAlignment="1" applyProtection="1">
      <alignment horizontal="center" shrinkToFit="1"/>
    </xf>
    <xf numFmtId="178" fontId="0" fillId="0" borderId="30" xfId="0" applyNumberFormat="1" applyBorder="1" applyAlignment="1">
      <alignment horizontal="center" vertical="center"/>
    </xf>
    <xf numFmtId="0" fontId="0" fillId="0" borderId="10" xfId="0" applyFont="1" applyBorder="1" applyAlignment="1" applyProtection="1">
      <alignment wrapText="1"/>
    </xf>
    <xf numFmtId="0" fontId="24" fillId="0" borderId="32" xfId="0" applyFont="1" applyBorder="1" applyAlignment="1">
      <alignment horizontal="center" vertical="center"/>
    </xf>
    <xf numFmtId="179" fontId="24" fillId="0" borderId="39" xfId="0" applyNumberFormat="1" applyFont="1" applyBorder="1" applyAlignment="1" applyProtection="1">
      <alignment horizontal="center" vertical="center"/>
    </xf>
    <xf numFmtId="0" fontId="0" fillId="0" borderId="40" xfId="0" applyBorder="1" applyAlignment="1" applyProtection="1">
      <alignment horizontal="left" vertical="top"/>
    </xf>
    <xf numFmtId="49" fontId="0" fillId="0" borderId="40" xfId="0" applyNumberFormat="1" applyFill="1" applyBorder="1" applyAlignment="1" applyProtection="1">
      <alignment horizontal="center" vertical="center" wrapText="1"/>
    </xf>
    <xf numFmtId="0" fontId="0" fillId="0" borderId="40" xfId="0" applyFill="1" applyBorder="1" applyAlignment="1" applyProtection="1">
      <alignment horizontal="center"/>
    </xf>
    <xf numFmtId="0" fontId="0" fillId="0" borderId="40" xfId="0" applyBorder="1" applyAlignment="1" applyProtection="1">
      <alignment horizontal="center" vertical="center"/>
    </xf>
    <xf numFmtId="0" fontId="0" fillId="0" borderId="41" xfId="0" applyBorder="1" applyAlignment="1" applyProtection="1">
      <alignment horizontal="center" vertical="center"/>
    </xf>
    <xf numFmtId="0" fontId="0" fillId="0" borderId="79" xfId="0" applyBorder="1" applyAlignment="1" applyProtection="1">
      <alignment horizontal="center" vertical="center"/>
    </xf>
    <xf numFmtId="178" fontId="0" fillId="0" borderId="42" xfId="0" applyNumberFormat="1" applyBorder="1" applyAlignment="1" applyProtection="1">
      <alignment horizontal="center" vertical="center"/>
    </xf>
    <xf numFmtId="178" fontId="0" fillId="0" borderId="0" xfId="0" applyNumberFormat="1" applyFont="1" applyBorder="1" applyAlignment="1" applyProtection="1">
      <alignment horizontal="center" vertical="center"/>
    </xf>
    <xf numFmtId="178" fontId="0" fillId="0" borderId="38" xfId="0" applyNumberFormat="1" applyBorder="1" applyAlignment="1" applyProtection="1">
      <alignment horizontal="center" vertical="center"/>
    </xf>
    <xf numFmtId="178" fontId="0" fillId="0" borderId="79" xfId="0" applyNumberFormat="1" applyBorder="1" applyAlignment="1" applyProtection="1">
      <alignment horizontal="center" vertical="center"/>
    </xf>
    <xf numFmtId="178" fontId="0" fillId="0" borderId="69" xfId="0" applyNumberFormat="1" applyBorder="1" applyAlignment="1" applyProtection="1">
      <alignment horizontal="center" vertical="center"/>
    </xf>
    <xf numFmtId="10" fontId="0" fillId="0" borderId="69" xfId="0" applyNumberFormat="1" applyBorder="1" applyAlignment="1" applyProtection="1">
      <alignment horizontal="center" vertical="center"/>
    </xf>
    <xf numFmtId="0" fontId="0" fillId="0" borderId="33" xfId="0" applyFont="1" applyBorder="1" applyAlignment="1" applyProtection="1">
      <alignment horizontal="center" vertical="center" wrapText="1"/>
    </xf>
    <xf numFmtId="181" fontId="8" fillId="8" borderId="84" xfId="0" applyNumberFormat="1" applyFont="1" applyFill="1" applyBorder="1" applyAlignment="1">
      <alignment horizontal="center"/>
    </xf>
    <xf numFmtId="181" fontId="8" fillId="8" borderId="85" xfId="0" applyNumberFormat="1" applyFont="1" applyFill="1" applyBorder="1" applyAlignment="1">
      <alignment horizontal="center"/>
    </xf>
    <xf numFmtId="181" fontId="8" fillId="8" borderId="66" xfId="0" applyNumberFormat="1" applyFont="1" applyFill="1" applyBorder="1" applyAlignment="1">
      <alignment horizontal="center"/>
    </xf>
    <xf numFmtId="181" fontId="8" fillId="8" borderId="67" xfId="0" applyNumberFormat="1" applyFont="1" applyFill="1" applyBorder="1" applyAlignment="1">
      <alignment horizontal="center"/>
    </xf>
    <xf numFmtId="0" fontId="0" fillId="18" borderId="82" xfId="0" applyFill="1" applyBorder="1" applyAlignment="1"/>
    <xf numFmtId="0" fontId="0" fillId="18" borderId="10" xfId="0" applyFill="1" applyBorder="1" applyAlignment="1"/>
    <xf numFmtId="0" fontId="0" fillId="18" borderId="11" xfId="0" applyFill="1" applyBorder="1" applyAlignment="1"/>
    <xf numFmtId="178" fontId="0" fillId="0" borderId="42" xfId="0" applyNumberFormat="1" applyFont="1" applyFill="1" applyBorder="1" applyAlignment="1">
      <alignment horizontal="center" vertical="center"/>
    </xf>
    <xf numFmtId="178" fontId="0" fillId="0" borderId="38" xfId="0" applyNumberFormat="1" applyFont="1" applyFill="1" applyBorder="1" applyAlignment="1">
      <alignment horizontal="center" vertical="center"/>
    </xf>
    <xf numFmtId="178" fontId="0" fillId="0" borderId="79" xfId="0" applyNumberFormat="1" applyFont="1" applyFill="1" applyBorder="1" applyAlignment="1">
      <alignment horizontal="center" vertical="center"/>
    </xf>
    <xf numFmtId="178" fontId="0" fillId="0" borderId="69" xfId="0" applyNumberFormat="1" applyFont="1" applyFill="1" applyBorder="1" applyAlignment="1">
      <alignment horizontal="center" vertical="center"/>
    </xf>
    <xf numFmtId="0" fontId="0" fillId="18" borderId="33" xfId="0" applyFill="1" applyBorder="1" applyAlignment="1"/>
    <xf numFmtId="0" fontId="0" fillId="18" borderId="0" xfId="0" applyFont="1" applyFill="1" applyBorder="1" applyAlignment="1">
      <alignment horizontal="center"/>
    </xf>
    <xf numFmtId="0" fontId="0" fillId="18" borderId="12" xfId="0" applyFont="1" applyFill="1" applyBorder="1" applyAlignment="1">
      <alignment horizontal="center"/>
    </xf>
    <xf numFmtId="0" fontId="21" fillId="0" borderId="0" xfId="0" applyFont="1"/>
    <xf numFmtId="178" fontId="0" fillId="8" borderId="42" xfId="0" applyNumberFormat="1" applyFont="1" applyFill="1" applyBorder="1" applyAlignment="1">
      <alignment horizontal="center" vertical="center"/>
    </xf>
    <xf numFmtId="178" fontId="0" fillId="8" borderId="38" xfId="0" applyNumberFormat="1" applyFont="1" applyFill="1" applyBorder="1" applyAlignment="1">
      <alignment horizontal="center" vertical="center"/>
    </xf>
    <xf numFmtId="178" fontId="0" fillId="8" borderId="79" xfId="0" applyNumberFormat="1" applyFont="1" applyFill="1" applyBorder="1" applyAlignment="1">
      <alignment horizontal="center" vertical="center"/>
    </xf>
    <xf numFmtId="178" fontId="0" fillId="8" borderId="69" xfId="0" applyNumberFormat="1" applyFont="1" applyFill="1" applyBorder="1" applyAlignment="1">
      <alignment horizontal="center" vertical="center"/>
    </xf>
    <xf numFmtId="0" fontId="0" fillId="18" borderId="84" xfId="0" applyFont="1" applyFill="1" applyBorder="1" applyAlignment="1">
      <alignment horizontal="right"/>
    </xf>
    <xf numFmtId="178" fontId="51" fillId="0" borderId="40" xfId="0" applyNumberFormat="1" applyFont="1" applyBorder="1"/>
    <xf numFmtId="178" fontId="0" fillId="0" borderId="86" xfId="0" applyNumberFormat="1" applyFont="1" applyFill="1" applyBorder="1" applyAlignment="1">
      <alignment horizontal="center" vertical="center"/>
    </xf>
    <xf numFmtId="178" fontId="0" fillId="0" borderId="59" xfId="0" applyNumberFormat="1" applyFont="1" applyFill="1" applyBorder="1" applyAlignment="1">
      <alignment horizontal="center" vertical="center"/>
    </xf>
    <xf numFmtId="178" fontId="0" fillId="0" borderId="60" xfId="0" applyNumberFormat="1" applyFont="1" applyFill="1" applyBorder="1" applyAlignment="1">
      <alignment horizontal="center" vertical="center"/>
    </xf>
    <xf numFmtId="178" fontId="0" fillId="0" borderId="61" xfId="0" applyNumberFormat="1" applyFont="1" applyFill="1" applyBorder="1" applyAlignment="1">
      <alignment horizontal="center" vertical="center"/>
    </xf>
    <xf numFmtId="0" fontId="0" fillId="18" borderId="87" xfId="0" applyFont="1" applyFill="1" applyBorder="1" applyAlignment="1">
      <alignment horizontal="right"/>
    </xf>
    <xf numFmtId="178" fontId="17" fillId="8" borderId="32" xfId="0" applyNumberFormat="1" applyFont="1" applyFill="1" applyBorder="1" applyAlignment="1">
      <alignment horizontal="center" vertical="center"/>
    </xf>
    <xf numFmtId="178" fontId="17" fillId="8" borderId="13" xfId="0" applyNumberFormat="1" applyFont="1" applyFill="1" applyBorder="1" applyAlignment="1">
      <alignment horizontal="center" vertical="center"/>
    </xf>
    <xf numFmtId="178" fontId="17" fillId="8" borderId="45" xfId="0" applyNumberFormat="1" applyFont="1" applyFill="1" applyBorder="1" applyAlignment="1">
      <alignment horizontal="center" vertical="center"/>
    </xf>
    <xf numFmtId="178" fontId="17" fillId="8" borderId="46" xfId="0" applyNumberFormat="1" applyFont="1" applyFill="1" applyBorder="1" applyAlignment="1">
      <alignment horizontal="center" vertical="center"/>
    </xf>
    <xf numFmtId="0" fontId="0" fillId="18" borderId="47" xfId="0" applyFill="1" applyBorder="1" applyAlignment="1"/>
    <xf numFmtId="0" fontId="0" fillId="18" borderId="30" xfId="0" applyFill="1" applyBorder="1" applyAlignment="1"/>
    <xf numFmtId="0" fontId="0" fillId="18" borderId="29" xfId="0" applyFill="1" applyBorder="1" applyAlignment="1"/>
    <xf numFmtId="178" fontId="0" fillId="0" borderId="0" xfId="0" applyNumberFormat="1"/>
    <xf numFmtId="0" fontId="17" fillId="0" borderId="0" xfId="33" applyFont="1" applyBorder="1" applyAlignment="1" applyProtection="1">
      <alignment vertical="center"/>
    </xf>
    <xf numFmtId="0" fontId="0" fillId="0" borderId="0" xfId="33" applyFont="1" applyBorder="1" applyAlignment="1" applyProtection="1">
      <alignment horizontal="left" vertical="center"/>
    </xf>
    <xf numFmtId="0" fontId="0" fillId="0" borderId="0" xfId="33" applyFont="1"/>
    <xf numFmtId="0" fontId="0" fillId="0" borderId="0" xfId="33" applyFont="1" applyFill="1" applyBorder="1" applyAlignment="1" applyProtection="1"/>
    <xf numFmtId="0" fontId="0" fillId="0" borderId="10" xfId="0" applyFont="1" applyBorder="1" applyAlignment="1" applyProtection="1">
      <alignment horizontal="right"/>
    </xf>
    <xf numFmtId="171" fontId="21" fillId="0" borderId="0" xfId="48" applyFont="1" applyFill="1" applyBorder="1" applyAlignment="1" applyProtection="1"/>
    <xf numFmtId="168" fontId="0" fillId="0" borderId="0" xfId="33" applyNumberFormat="1" applyFont="1" applyFill="1" applyBorder="1" applyAlignment="1" applyProtection="1">
      <alignment horizontal="left"/>
    </xf>
    <xf numFmtId="0" fontId="0" fillId="0" borderId="0" xfId="33" applyFont="1" applyAlignment="1" applyProtection="1"/>
    <xf numFmtId="171" fontId="52" fillId="0" borderId="0" xfId="48" applyFill="1" applyBorder="1" applyAlignment="1" applyProtection="1"/>
    <xf numFmtId="0" fontId="0" fillId="0" borderId="0" xfId="33" applyFont="1" applyFill="1" applyBorder="1" applyAlignment="1" applyProtection="1">
      <alignment horizontal="left"/>
    </xf>
    <xf numFmtId="0" fontId="0" fillId="6" borderId="0" xfId="33" applyFont="1" applyFill="1" applyBorder="1" applyAlignment="1" applyProtection="1">
      <alignment vertical="top"/>
      <protection locked="0"/>
    </xf>
    <xf numFmtId="0" fontId="24" fillId="0" borderId="0" xfId="33" applyFont="1" applyFill="1" applyBorder="1" applyAlignment="1" applyProtection="1">
      <alignment vertical="top"/>
    </xf>
    <xf numFmtId="0" fontId="0" fillId="0" borderId="0" xfId="33" applyFont="1" applyFill="1" applyBorder="1" applyAlignment="1" applyProtection="1">
      <alignment horizontal="left" vertical="top"/>
    </xf>
    <xf numFmtId="180" fontId="24" fillId="0" borderId="40" xfId="48" applyNumberFormat="1" applyFont="1" applyFill="1" applyBorder="1" applyAlignment="1" applyProtection="1">
      <alignment vertical="top" shrinkToFit="1"/>
    </xf>
    <xf numFmtId="180" fontId="24" fillId="0" borderId="71" xfId="48" applyNumberFormat="1" applyFont="1" applyFill="1" applyBorder="1" applyAlignment="1" applyProtection="1">
      <alignment horizontal="right" vertical="top" shrinkToFit="1"/>
    </xf>
    <xf numFmtId="10" fontId="24" fillId="0" borderId="71" xfId="37" applyNumberFormat="1" applyFont="1" applyFill="1" applyBorder="1" applyAlignment="1" applyProtection="1">
      <alignment horizontal="right" vertical="top" shrinkToFit="1"/>
    </xf>
    <xf numFmtId="0" fontId="0" fillId="6" borderId="0" xfId="33" applyFont="1" applyFill="1" applyBorder="1" applyAlignment="1" applyProtection="1">
      <alignment vertical="top" wrapText="1"/>
      <protection locked="0"/>
    </xf>
    <xf numFmtId="0" fontId="0" fillId="0" borderId="30" xfId="33" applyFont="1" applyBorder="1" applyAlignment="1" applyProtection="1"/>
    <xf numFmtId="0" fontId="0" fillId="0" borderId="0" xfId="33" applyFont="1" applyBorder="1" applyAlignment="1" applyProtection="1"/>
    <xf numFmtId="0" fontId="55" fillId="0" borderId="0" xfId="0" applyFont="1" applyAlignment="1">
      <alignment horizontal="center"/>
    </xf>
    <xf numFmtId="0" fontId="0" fillId="0" borderId="0" xfId="0" applyFill="1" applyBorder="1"/>
    <xf numFmtId="0" fontId="0" fillId="20" borderId="0" xfId="0" applyFill="1"/>
    <xf numFmtId="0" fontId="0" fillId="20" borderId="0" xfId="0" applyFill="1" applyAlignment="1">
      <alignment horizontal="center" vertical="center"/>
    </xf>
    <xf numFmtId="0" fontId="18" fillId="20" borderId="0" xfId="0" applyFont="1" applyFill="1" applyAlignment="1">
      <alignment vertical="center"/>
    </xf>
    <xf numFmtId="0" fontId="19" fillId="20" borderId="0" xfId="0" applyFont="1" applyFill="1" applyAlignment="1">
      <alignment horizontal="center" vertical="top"/>
    </xf>
    <xf numFmtId="0" fontId="19" fillId="20" borderId="0" xfId="0" applyFont="1" applyFill="1" applyAlignment="1">
      <alignment vertical="top"/>
    </xf>
    <xf numFmtId="0" fontId="0" fillId="20" borderId="0" xfId="0" applyFill="1" applyBorder="1"/>
    <xf numFmtId="0" fontId="0" fillId="20" borderId="0" xfId="0" applyFill="1" applyBorder="1" applyAlignment="1">
      <alignment horizontal="center" vertical="center"/>
    </xf>
    <xf numFmtId="0" fontId="54" fillId="21" borderId="88" xfId="30" applyFont="1" applyFill="1" applyBorder="1" applyAlignment="1">
      <alignment horizontal="center" vertical="center"/>
    </xf>
    <xf numFmtId="0" fontId="17" fillId="22" borderId="88" xfId="30" applyFont="1" applyFill="1" applyBorder="1" applyAlignment="1">
      <alignment horizontal="center" vertical="center"/>
    </xf>
    <xf numFmtId="0" fontId="23" fillId="22" borderId="88" xfId="30" applyFont="1" applyFill="1" applyBorder="1" applyAlignment="1">
      <alignment horizontal="center" vertical="center"/>
    </xf>
    <xf numFmtId="0" fontId="53" fillId="22" borderId="88" xfId="30" applyFont="1" applyFill="1" applyBorder="1" applyAlignment="1">
      <alignment horizontal="center" vertical="center"/>
    </xf>
    <xf numFmtId="0" fontId="55" fillId="0" borderId="0" xfId="0" applyFont="1" applyFill="1" applyBorder="1" applyAlignment="1" applyProtection="1">
      <alignment horizontal="center" vertical="center"/>
      <protection locked="0"/>
    </xf>
    <xf numFmtId="0" fontId="17" fillId="23" borderId="88" xfId="30" applyFont="1" applyFill="1" applyBorder="1" applyAlignment="1">
      <alignment horizontal="center" vertical="center"/>
    </xf>
    <xf numFmtId="0" fontId="53" fillId="23" borderId="88" xfId="30" applyFont="1" applyFill="1" applyBorder="1" applyAlignment="1">
      <alignment horizontal="center" vertical="center"/>
    </xf>
    <xf numFmtId="0" fontId="24" fillId="24" borderId="88" xfId="30" applyFont="1" applyFill="1" applyBorder="1" applyAlignment="1">
      <alignment horizontal="center" vertical="center"/>
    </xf>
    <xf numFmtId="0" fontId="23" fillId="24" borderId="88" xfId="30" applyFont="1" applyFill="1" applyBorder="1" applyAlignment="1">
      <alignment horizontal="center" vertical="center"/>
    </xf>
    <xf numFmtId="0" fontId="53" fillId="24" borderId="88" xfId="30" applyFont="1" applyFill="1" applyBorder="1" applyAlignment="1">
      <alignment horizontal="center" vertical="center"/>
    </xf>
    <xf numFmtId="0" fontId="0" fillId="25" borderId="0" xfId="0" applyFont="1" applyFill="1" applyBorder="1"/>
    <xf numFmtId="0" fontId="0" fillId="3" borderId="0" xfId="0" applyFont="1" applyFill="1" applyBorder="1" applyAlignment="1" applyProtection="1">
      <alignment vertical="center"/>
    </xf>
    <xf numFmtId="0" fontId="0" fillId="0" borderId="89" xfId="0" applyBorder="1"/>
    <xf numFmtId="0" fontId="0" fillId="0" borderId="90" xfId="0" applyBorder="1"/>
    <xf numFmtId="0" fontId="0" fillId="0" borderId="91" xfId="0" applyBorder="1"/>
    <xf numFmtId="0" fontId="0" fillId="0" borderId="92" xfId="0" applyBorder="1"/>
    <xf numFmtId="0" fontId="24" fillId="0" borderId="0" xfId="0" applyFont="1" applyBorder="1" applyAlignment="1">
      <alignment vertical="center"/>
    </xf>
    <xf numFmtId="0" fontId="0" fillId="0" borderId="93" xfId="0" applyBorder="1"/>
    <xf numFmtId="0" fontId="0" fillId="0" borderId="93" xfId="0" applyFont="1" applyFill="1" applyBorder="1" applyAlignment="1">
      <alignment vertical="center"/>
    </xf>
    <xf numFmtId="0" fontId="0" fillId="0" borderId="93" xfId="0" applyFont="1" applyFill="1" applyBorder="1"/>
    <xf numFmtId="0" fontId="0" fillId="0" borderId="94" xfId="0" applyBorder="1"/>
    <xf numFmtId="0" fontId="0" fillId="0" borderId="95" xfId="0" applyBorder="1"/>
    <xf numFmtId="0" fontId="0" fillId="0" borderId="96" xfId="0" applyBorder="1"/>
    <xf numFmtId="0" fontId="55" fillId="0" borderId="0" xfId="0" applyFont="1"/>
    <xf numFmtId="0" fontId="0" fillId="0" borderId="45" xfId="0" applyFont="1" applyFill="1" applyBorder="1"/>
    <xf numFmtId="0" fontId="44" fillId="0" borderId="0" xfId="0" applyFont="1" applyFill="1" applyAlignment="1">
      <alignment horizontal="center"/>
    </xf>
    <xf numFmtId="0" fontId="44" fillId="26" borderId="13" xfId="0" applyFont="1" applyFill="1" applyBorder="1"/>
    <xf numFmtId="0" fontId="0" fillId="26" borderId="13" xfId="0" applyFill="1" applyBorder="1"/>
    <xf numFmtId="0" fontId="0" fillId="26" borderId="45" xfId="0" applyFont="1" applyFill="1" applyBorder="1"/>
    <xf numFmtId="0" fontId="0" fillId="26" borderId="46" xfId="0" applyFont="1" applyFill="1" applyBorder="1"/>
    <xf numFmtId="0" fontId="0" fillId="26" borderId="32" xfId="0" applyFont="1" applyFill="1" applyBorder="1" applyProtection="1"/>
    <xf numFmtId="0" fontId="0" fillId="26" borderId="13" xfId="0" applyFont="1" applyFill="1" applyBorder="1"/>
    <xf numFmtId="0" fontId="0" fillId="26" borderId="32" xfId="0" applyFont="1" applyFill="1" applyBorder="1" applyAlignment="1">
      <alignment horizontal="left"/>
    </xf>
    <xf numFmtId="0" fontId="0" fillId="26" borderId="32" xfId="0" applyFont="1" applyFill="1" applyBorder="1" applyAlignment="1" applyProtection="1">
      <alignment horizontal="center"/>
    </xf>
    <xf numFmtId="0" fontId="24" fillId="6" borderId="14" xfId="0" applyNumberFormat="1" applyFont="1" applyFill="1" applyBorder="1" applyAlignment="1" applyProtection="1">
      <alignment horizontal="center" vertical="center" wrapText="1"/>
      <protection locked="0"/>
    </xf>
    <xf numFmtId="0" fontId="24" fillId="6" borderId="29" xfId="0" applyNumberFormat="1" applyFont="1" applyFill="1" applyBorder="1" applyAlignment="1" applyProtection="1">
      <alignment horizontal="center" vertical="center" wrapText="1"/>
      <protection locked="0"/>
    </xf>
    <xf numFmtId="0" fontId="0" fillId="27" borderId="13" xfId="0" applyFont="1" applyFill="1" applyBorder="1"/>
    <xf numFmtId="0" fontId="0" fillId="27" borderId="46" xfId="0" applyFont="1" applyFill="1" applyBorder="1" applyProtection="1"/>
    <xf numFmtId="0" fontId="0" fillId="27" borderId="45" xfId="0" applyFont="1" applyFill="1" applyBorder="1"/>
    <xf numFmtId="0" fontId="0" fillId="27" borderId="46" xfId="0" applyFont="1" applyFill="1" applyBorder="1"/>
    <xf numFmtId="0" fontId="0" fillId="28" borderId="32" xfId="0" applyFont="1" applyFill="1" applyBorder="1"/>
    <xf numFmtId="171" fontId="21" fillId="17" borderId="32" xfId="48" applyNumberFormat="1" applyFont="1" applyFill="1" applyBorder="1" applyAlignment="1" applyProtection="1">
      <alignment horizontal="center" vertical="center" shrinkToFit="1"/>
    </xf>
    <xf numFmtId="0" fontId="39" fillId="0" borderId="52" xfId="0" applyFont="1" applyBorder="1" applyAlignment="1" applyProtection="1">
      <alignment horizontal="center" vertical="center" wrapText="1"/>
    </xf>
    <xf numFmtId="171" fontId="0" fillId="0" borderId="39" xfId="48" applyNumberFormat="1" applyFont="1" applyFill="1" applyBorder="1" applyAlignment="1" applyProtection="1">
      <alignment vertical="center" shrinkToFit="1"/>
    </xf>
    <xf numFmtId="10" fontId="0" fillId="0" borderId="41" xfId="48" applyNumberFormat="1" applyFont="1" applyFill="1" applyBorder="1" applyAlignment="1" applyProtection="1">
      <alignment vertical="center" shrinkToFit="1"/>
    </xf>
    <xf numFmtId="10" fontId="24" fillId="17" borderId="14" xfId="48" applyNumberFormat="1" applyFont="1" applyFill="1" applyBorder="1" applyAlignment="1" applyProtection="1">
      <alignment horizontal="center" vertical="center"/>
    </xf>
    <xf numFmtId="171" fontId="0" fillId="6" borderId="42" xfId="48" applyFont="1" applyFill="1" applyBorder="1" applyAlignment="1" applyProtection="1">
      <alignment vertical="center" wrapText="1"/>
      <protection locked="0"/>
    </xf>
    <xf numFmtId="0" fontId="43" fillId="28" borderId="45" xfId="34" applyFont="1" applyFill="1" applyBorder="1"/>
    <xf numFmtId="0" fontId="43" fillId="26" borderId="0" xfId="34" applyFont="1" applyFill="1"/>
    <xf numFmtId="0" fontId="43" fillId="27" borderId="32" xfId="34" applyFont="1" applyFill="1" applyBorder="1" applyAlignment="1">
      <alignment horizontal="center"/>
    </xf>
    <xf numFmtId="0" fontId="43" fillId="27" borderId="13" xfId="34" applyFont="1" applyFill="1" applyBorder="1"/>
    <xf numFmtId="0" fontId="43" fillId="27" borderId="45" xfId="34" applyFont="1" applyFill="1" applyBorder="1"/>
    <xf numFmtId="0" fontId="43" fillId="29" borderId="45" xfId="34" applyFont="1" applyFill="1" applyBorder="1" applyAlignment="1">
      <alignment horizontal="center"/>
    </xf>
    <xf numFmtId="165" fontId="0" fillId="27" borderId="45" xfId="49" applyFont="1" applyFill="1" applyBorder="1" applyAlignment="1" applyProtection="1">
      <alignment horizontal="center"/>
    </xf>
    <xf numFmtId="0" fontId="43" fillId="27" borderId="46" xfId="34" applyFont="1" applyFill="1" applyBorder="1"/>
    <xf numFmtId="0" fontId="43" fillId="26" borderId="13" xfId="34" applyFont="1" applyFill="1" applyBorder="1" applyAlignment="1">
      <alignment horizontal="center"/>
    </xf>
    <xf numFmtId="0" fontId="43" fillId="26" borderId="46" xfId="34" applyFont="1" applyFill="1" applyBorder="1" applyAlignment="1">
      <alignment horizontal="center"/>
    </xf>
    <xf numFmtId="0" fontId="43" fillId="26" borderId="45" xfId="34" applyFont="1" applyFill="1" applyBorder="1" applyAlignment="1">
      <alignment horizontal="center"/>
    </xf>
    <xf numFmtId="0" fontId="0" fillId="26" borderId="45" xfId="0" applyFill="1" applyBorder="1"/>
    <xf numFmtId="0" fontId="0" fillId="26" borderId="46" xfId="0" applyFill="1" applyBorder="1"/>
    <xf numFmtId="0" fontId="0" fillId="26" borderId="37" xfId="0" applyFont="1" applyFill="1" applyBorder="1"/>
    <xf numFmtId="0" fontId="0" fillId="26" borderId="48" xfId="0" applyFont="1" applyFill="1" applyBorder="1"/>
    <xf numFmtId="0" fontId="0" fillId="26" borderId="49" xfId="0" applyFont="1" applyFill="1" applyBorder="1"/>
    <xf numFmtId="171" fontId="0" fillId="6" borderId="40" xfId="48" applyFont="1" applyFill="1" applyBorder="1" applyAlignment="1" applyProtection="1">
      <protection locked="0"/>
    </xf>
    <xf numFmtId="0" fontId="0" fillId="8" borderId="19" xfId="0" applyFill="1" applyBorder="1" applyAlignment="1">
      <alignment horizontal="center"/>
    </xf>
    <xf numFmtId="4" fontId="0" fillId="8" borderId="40" xfId="0" applyNumberFormat="1" applyFill="1" applyBorder="1"/>
    <xf numFmtId="4" fontId="0" fillId="8" borderId="25" xfId="0" applyNumberFormat="1" applyFill="1" applyBorder="1"/>
    <xf numFmtId="0" fontId="0" fillId="8" borderId="26" xfId="0" applyFill="1" applyBorder="1" applyAlignment="1">
      <alignment horizontal="center"/>
    </xf>
    <xf numFmtId="4" fontId="0" fillId="8" borderId="97" xfId="0" applyNumberFormat="1" applyFill="1" applyBorder="1"/>
    <xf numFmtId="4" fontId="0" fillId="8" borderId="27" xfId="0" applyNumberFormat="1" applyFill="1" applyBorder="1"/>
    <xf numFmtId="0" fontId="0" fillId="8" borderId="17" xfId="0" applyFill="1" applyBorder="1" applyAlignment="1">
      <alignment horizontal="center"/>
    </xf>
    <xf numFmtId="4" fontId="0" fillId="8" borderId="98" xfId="0" applyNumberFormat="1" applyFill="1" applyBorder="1"/>
    <xf numFmtId="4" fontId="0" fillId="8" borderId="99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1" fontId="0" fillId="6" borderId="0" xfId="0" applyNumberFormat="1" applyFill="1" applyBorder="1" applyAlignment="1" applyProtection="1">
      <alignment horizontal="center"/>
      <protection locked="0"/>
    </xf>
    <xf numFmtId="171" fontId="0" fillId="6" borderId="39" xfId="48" applyFont="1" applyFill="1" applyBorder="1" applyAlignment="1" applyProtection="1">
      <alignment vertical="center" wrapText="1"/>
      <protection locked="0"/>
    </xf>
    <xf numFmtId="10" fontId="24" fillId="17" borderId="74" xfId="48" applyNumberFormat="1" applyFont="1" applyFill="1" applyBorder="1" applyAlignment="1" applyProtection="1">
      <alignment horizontal="center" vertical="center"/>
    </xf>
    <xf numFmtId="171" fontId="24" fillId="17" borderId="74" xfId="48" applyNumberFormat="1" applyFont="1" applyFill="1" applyBorder="1" applyAlignment="1" applyProtection="1">
      <alignment horizontal="center" vertical="center"/>
    </xf>
    <xf numFmtId="10" fontId="24" fillId="17" borderId="75" xfId="48" applyNumberFormat="1" applyFont="1" applyFill="1" applyBorder="1" applyAlignment="1" applyProtection="1">
      <alignment horizontal="center" vertical="center"/>
    </xf>
    <xf numFmtId="0" fontId="0" fillId="0" borderId="47" xfId="0" applyNumberFormat="1" applyBorder="1" applyProtection="1">
      <protection locked="0"/>
    </xf>
    <xf numFmtId="184" fontId="0" fillId="0" borderId="0" xfId="0" applyNumberFormat="1"/>
    <xf numFmtId="10" fontId="44" fillId="0" borderId="100" xfId="38" applyNumberFormat="1" applyFont="1" applyFill="1" applyBorder="1" applyAlignment="1" applyProtection="1">
      <alignment horizontal="center"/>
      <protection locked="0"/>
    </xf>
    <xf numFmtId="0" fontId="29" fillId="0" borderId="0" xfId="0" applyFont="1" applyFill="1" applyBorder="1" applyAlignment="1" applyProtection="1">
      <alignment horizontal="left" wrapText="1"/>
    </xf>
    <xf numFmtId="0" fontId="0" fillId="0" borderId="0" xfId="0" applyProtection="1"/>
    <xf numFmtId="4" fontId="0" fillId="6" borderId="53" xfId="0" applyNumberFormat="1" applyFill="1" applyBorder="1" applyAlignment="1" applyProtection="1">
      <protection locked="0"/>
    </xf>
    <xf numFmtId="4" fontId="0" fillId="6" borderId="68" xfId="0" applyNumberFormat="1" applyFill="1" applyBorder="1" applyAlignment="1" applyProtection="1">
      <protection locked="0"/>
    </xf>
    <xf numFmtId="4" fontId="0" fillId="6" borderId="74" xfId="0" applyNumberFormat="1" applyFill="1" applyBorder="1" applyAlignment="1" applyProtection="1">
      <protection locked="0"/>
    </xf>
    <xf numFmtId="4" fontId="0" fillId="6" borderId="75" xfId="0" applyNumberFormat="1" applyFill="1" applyBorder="1" applyAlignment="1" applyProtection="1">
      <protection locked="0"/>
    </xf>
    <xf numFmtId="0" fontId="0" fillId="0" borderId="101" xfId="0" applyBorder="1" applyAlignment="1">
      <alignment horizontal="center"/>
    </xf>
    <xf numFmtId="0" fontId="0" fillId="0" borderId="102" xfId="0" applyBorder="1" applyAlignment="1">
      <alignment horizontal="center"/>
    </xf>
    <xf numFmtId="0" fontId="0" fillId="0" borderId="103" xfId="0" applyBorder="1" applyAlignment="1">
      <alignment horizontal="center"/>
    </xf>
    <xf numFmtId="0" fontId="24" fillId="0" borderId="64" xfId="0" applyFont="1" applyBorder="1" applyAlignment="1"/>
    <xf numFmtId="0" fontId="0" fillId="0" borderId="93" xfId="0" applyFont="1" applyBorder="1"/>
    <xf numFmtId="0" fontId="0" fillId="6" borderId="37" xfId="0" applyFill="1" applyBorder="1" applyAlignment="1" applyProtection="1">
      <alignment horizontal="center" textRotation="90" wrapText="1"/>
      <protection locked="0"/>
    </xf>
    <xf numFmtId="171" fontId="0" fillId="0" borderId="37" xfId="48" applyFont="1" applyFill="1" applyBorder="1" applyAlignment="1" applyProtection="1">
      <alignment vertical="center" shrinkToFit="1"/>
    </xf>
    <xf numFmtId="171" fontId="0" fillId="0" borderId="48" xfId="48" applyFont="1" applyFill="1" applyBorder="1" applyAlignment="1" applyProtection="1">
      <alignment vertical="center" shrinkToFit="1"/>
    </xf>
    <xf numFmtId="171" fontId="0" fillId="0" borderId="49" xfId="48" applyFont="1" applyFill="1" applyBorder="1" applyAlignment="1" applyProtection="1">
      <alignment vertical="center" shrinkToFit="1"/>
    </xf>
    <xf numFmtId="185" fontId="0" fillId="0" borderId="40" xfId="48" applyNumberFormat="1" applyFont="1" applyFill="1" applyBorder="1" applyAlignment="1" applyProtection="1">
      <alignment vertical="center" shrinkToFit="1"/>
    </xf>
    <xf numFmtId="49" fontId="24" fillId="17" borderId="30" xfId="0" applyNumberFormat="1" applyFont="1" applyFill="1" applyBorder="1" applyAlignment="1" applyProtection="1">
      <alignment horizontal="center" vertical="center"/>
    </xf>
    <xf numFmtId="171" fontId="24" fillId="17" borderId="30" xfId="48" applyNumberFormat="1" applyFont="1" applyFill="1" applyBorder="1" applyAlignment="1" applyProtection="1">
      <alignment horizontal="center" vertical="center"/>
    </xf>
    <xf numFmtId="171" fontId="24" fillId="17" borderId="29" xfId="48" applyNumberFormat="1" applyFont="1" applyFill="1" applyBorder="1" applyAlignment="1" applyProtection="1">
      <alignment horizontal="center" vertical="center" shrinkToFit="1"/>
    </xf>
    <xf numFmtId="1" fontId="57" fillId="0" borderId="0" xfId="0" applyNumberFormat="1" applyFont="1" applyAlignment="1">
      <alignment horizontal="center" vertical="center"/>
    </xf>
    <xf numFmtId="186" fontId="0" fillId="0" borderId="30" xfId="0" applyNumberFormat="1" applyFont="1" applyBorder="1" applyAlignment="1" applyProtection="1">
      <alignment horizontal="left"/>
    </xf>
    <xf numFmtId="0" fontId="17" fillId="0" borderId="95" xfId="33" applyFont="1" applyBorder="1" applyAlignment="1" applyProtection="1">
      <alignment vertical="center"/>
    </xf>
    <xf numFmtId="0" fontId="0" fillId="0" borderId="95" xfId="0" applyBorder="1" applyAlignment="1">
      <alignment horizontal="center"/>
    </xf>
    <xf numFmtId="0" fontId="24" fillId="0" borderId="0" xfId="33" applyNumberFormat="1" applyFont="1" applyFill="1" applyBorder="1" applyAlignment="1" applyProtection="1">
      <alignment vertical="top"/>
    </xf>
    <xf numFmtId="0" fontId="43" fillId="0" borderId="95" xfId="34" applyFont="1" applyBorder="1" applyAlignment="1">
      <alignment horizontal="center"/>
    </xf>
    <xf numFmtId="0" fontId="0" fillId="0" borderId="41" xfId="0" applyBorder="1" applyAlignment="1">
      <alignment horizontal="center" vertical="center" wrapText="1"/>
    </xf>
    <xf numFmtId="165" fontId="0" fillId="6" borderId="40" xfId="0" applyNumberForma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left" vertical="center" wrapText="1"/>
    </xf>
    <xf numFmtId="0" fontId="0" fillId="6" borderId="86" xfId="0" applyFill="1" applyBorder="1" applyAlignment="1" applyProtection="1">
      <alignment horizontal="left" vertical="center" wrapText="1"/>
      <protection locked="0"/>
    </xf>
    <xf numFmtId="49" fontId="0" fillId="6" borderId="70" xfId="0" applyNumberFormat="1" applyFill="1" applyBorder="1" applyAlignment="1" applyProtection="1">
      <alignment horizontal="center" vertical="center" wrapText="1"/>
      <protection locked="0"/>
    </xf>
    <xf numFmtId="49" fontId="0" fillId="16" borderId="104" xfId="0" applyNumberFormat="1" applyFont="1" applyFill="1" applyBorder="1" applyAlignment="1" applyProtection="1">
      <alignment horizontal="center" vertical="center"/>
      <protection locked="0"/>
    </xf>
    <xf numFmtId="49" fontId="0" fillId="6" borderId="41" xfId="48" applyNumberFormat="1" applyFont="1" applyFill="1" applyBorder="1" applyAlignment="1" applyProtection="1">
      <alignment horizontal="left" vertical="center" wrapText="1" shrinkToFit="1"/>
      <protection locked="0"/>
    </xf>
    <xf numFmtId="49" fontId="24" fillId="17" borderId="32" xfId="0" applyNumberFormat="1" applyFont="1" applyFill="1" applyBorder="1" applyAlignment="1" applyProtection="1">
      <alignment horizontal="left" vertical="center"/>
    </xf>
    <xf numFmtId="0" fontId="27" fillId="0" borderId="105" xfId="0" applyFont="1" applyBorder="1"/>
    <xf numFmtId="0" fontId="26" fillId="0" borderId="90" xfId="0" applyFont="1" applyBorder="1" applyAlignment="1">
      <alignment horizontal="left" indent="1"/>
    </xf>
    <xf numFmtId="0" fontId="0" fillId="0" borderId="90" xfId="0" applyBorder="1" applyAlignment="1">
      <alignment vertical="center"/>
    </xf>
    <xf numFmtId="171" fontId="0" fillId="0" borderId="41" xfId="48" applyNumberFormat="1" applyFont="1" applyFill="1" applyBorder="1" applyAlignment="1" applyProtection="1">
      <alignment vertical="center" shrinkToFit="1"/>
    </xf>
    <xf numFmtId="171" fontId="24" fillId="17" borderId="71" xfId="48" applyNumberFormat="1" applyFont="1" applyFill="1" applyBorder="1" applyAlignment="1" applyProtection="1">
      <alignment horizontal="center" vertical="center" shrinkToFit="1"/>
    </xf>
    <xf numFmtId="171" fontId="24" fillId="17" borderId="75" xfId="48" applyNumberFormat="1" applyFont="1" applyFill="1" applyBorder="1" applyAlignment="1" applyProtection="1">
      <alignment horizontal="center" vertical="center"/>
    </xf>
    <xf numFmtId="10" fontId="59" fillId="0" borderId="106" xfId="38" applyNumberFormat="1" applyFont="1" applyFill="1" applyBorder="1" applyAlignment="1" applyProtection="1">
      <alignment horizontal="center"/>
      <protection locked="0"/>
    </xf>
    <xf numFmtId="10" fontId="59" fillId="0" borderId="107" xfId="38" applyNumberFormat="1" applyFont="1" applyFill="1" applyBorder="1" applyAlignment="1" applyProtection="1">
      <alignment horizontal="center"/>
      <protection locked="0"/>
    </xf>
    <xf numFmtId="10" fontId="59" fillId="0" borderId="108" xfId="38" applyNumberFormat="1" applyFont="1" applyFill="1" applyBorder="1" applyAlignment="1" applyProtection="1">
      <alignment horizontal="center"/>
      <protection locked="0"/>
    </xf>
    <xf numFmtId="0" fontId="0" fillId="16" borderId="41" xfId="0" applyFill="1" applyBorder="1" applyAlignment="1" applyProtection="1">
      <alignment shrinkToFit="1"/>
      <protection locked="0"/>
    </xf>
    <xf numFmtId="0" fontId="0" fillId="0" borderId="109" xfId="0" applyFont="1" applyFill="1" applyBorder="1" applyAlignment="1">
      <alignment vertical="center"/>
    </xf>
    <xf numFmtId="0" fontId="0" fillId="16" borderId="110" xfId="0" applyFont="1" applyFill="1" applyBorder="1" applyAlignment="1" applyProtection="1">
      <alignment vertical="center"/>
      <protection locked="0"/>
    </xf>
    <xf numFmtId="43" fontId="0" fillId="0" borderId="0" xfId="0" applyNumberFormat="1"/>
    <xf numFmtId="0" fontId="0" fillId="0" borderId="0" xfId="0" applyFont="1"/>
    <xf numFmtId="0" fontId="0" fillId="6" borderId="16" xfId="0" applyFill="1" applyBorder="1" applyAlignment="1" applyProtection="1">
      <alignment vertical="center"/>
      <protection locked="0"/>
    </xf>
    <xf numFmtId="0" fontId="0" fillId="6" borderId="22" xfId="0" applyFill="1" applyBorder="1" applyAlignment="1" applyProtection="1">
      <alignment vertical="center"/>
      <protection locked="0"/>
    </xf>
    <xf numFmtId="0" fontId="0" fillId="6" borderId="18" xfId="0" applyFill="1" applyBorder="1" applyAlignment="1" applyProtection="1">
      <alignment vertical="center"/>
      <protection locked="0"/>
    </xf>
    <xf numFmtId="49" fontId="0" fillId="6" borderId="20" xfId="0" applyNumberFormat="1" applyFill="1" applyBorder="1" applyAlignment="1" applyProtection="1">
      <alignment vertical="center"/>
      <protection locked="0"/>
    </xf>
    <xf numFmtId="49" fontId="0" fillId="6" borderId="18" xfId="0" applyNumberFormat="1" applyFill="1" applyBorder="1" applyAlignment="1" applyProtection="1">
      <alignment vertical="center"/>
      <protection locked="0"/>
    </xf>
    <xf numFmtId="49" fontId="0" fillId="6" borderId="25" xfId="0" applyNumberFormat="1" applyFill="1" applyBorder="1" applyAlignment="1" applyProtection="1">
      <alignment vertical="center" wrapText="1"/>
      <protection locked="0"/>
    </xf>
    <xf numFmtId="49" fontId="0" fillId="6" borderId="24" xfId="0" applyNumberFormat="1" applyFill="1" applyBorder="1" applyAlignment="1" applyProtection="1">
      <alignment vertical="center" wrapText="1"/>
      <protection locked="0"/>
    </xf>
    <xf numFmtId="49" fontId="0" fillId="6" borderId="40" xfId="0" applyNumberFormat="1" applyFill="1" applyBorder="1" applyAlignment="1" applyProtection="1">
      <alignment horizontal="center" vertical="center" wrapText="1"/>
      <protection locked="0"/>
    </xf>
    <xf numFmtId="0" fontId="0" fillId="0" borderId="0" xfId="0" applyFont="1"/>
    <xf numFmtId="0" fontId="0" fillId="0" borderId="0" xfId="0" applyFont="1"/>
    <xf numFmtId="0" fontId="0" fillId="0" borderId="0" xfId="0" applyFont="1"/>
    <xf numFmtId="0" fontId="18" fillId="0" borderId="32" xfId="0" applyFont="1" applyFill="1" applyBorder="1" applyAlignment="1">
      <alignment horizontal="center" vertical="center"/>
    </xf>
    <xf numFmtId="0" fontId="19" fillId="20" borderId="0" xfId="0" applyFont="1" applyFill="1" applyAlignment="1">
      <alignment horizontal="center" vertical="center"/>
    </xf>
    <xf numFmtId="0" fontId="12" fillId="0" borderId="111" xfId="0" applyFont="1" applyBorder="1" applyAlignment="1">
      <alignment horizontal="center" vertical="center"/>
    </xf>
    <xf numFmtId="0" fontId="24" fillId="0" borderId="46" xfId="0" applyFont="1" applyBorder="1" applyAlignment="1">
      <alignment horizontal="center"/>
    </xf>
    <xf numFmtId="0" fontId="12" fillId="0" borderId="111" xfId="0" applyFont="1" applyFill="1" applyBorder="1" applyAlignment="1">
      <alignment horizontal="center" vertical="center"/>
    </xf>
    <xf numFmtId="0" fontId="0" fillId="0" borderId="14" xfId="33" applyFont="1" applyFill="1" applyBorder="1" applyAlignment="1" applyProtection="1">
      <alignment horizontal="left" vertical="top" wrapText="1"/>
    </xf>
    <xf numFmtId="0" fontId="0" fillId="0" borderId="31" xfId="0" applyFont="1" applyBorder="1" applyAlignment="1" applyProtection="1">
      <alignment horizontal="center"/>
    </xf>
    <xf numFmtId="0" fontId="24" fillId="0" borderId="14" xfId="0" applyFont="1" applyBorder="1" applyAlignment="1" applyProtection="1">
      <alignment horizontal="center"/>
    </xf>
    <xf numFmtId="0" fontId="24" fillId="0" borderId="31" xfId="35" applyFont="1" applyBorder="1" applyAlignment="1" applyProtection="1">
      <alignment horizontal="left" vertical="top"/>
    </xf>
    <xf numFmtId="0" fontId="8" fillId="0" borderId="32" xfId="33" applyFont="1" applyFill="1" applyBorder="1" applyAlignment="1" applyProtection="1">
      <alignment horizontal="left"/>
    </xf>
    <xf numFmtId="10" fontId="8" fillId="6" borderId="32" xfId="33" applyNumberFormat="1" applyFont="1" applyFill="1" applyBorder="1" applyAlignment="1" applyProtection="1">
      <alignment horizontal="center"/>
      <protection locked="0"/>
    </xf>
    <xf numFmtId="0" fontId="8" fillId="0" borderId="14" xfId="32" applyNumberFormat="1" applyFont="1" applyFill="1" applyBorder="1" applyAlignment="1" applyProtection="1">
      <alignment horizontal="left" wrapText="1"/>
    </xf>
    <xf numFmtId="0" fontId="8" fillId="0" borderId="32" xfId="33" applyFont="1" applyFill="1" applyBorder="1" applyAlignment="1" applyProtection="1">
      <alignment horizontal="left" wrapText="1"/>
    </xf>
    <xf numFmtId="0" fontId="24" fillId="0" borderId="32" xfId="33" applyFont="1" applyFill="1" applyBorder="1" applyAlignment="1" applyProtection="1">
      <alignment horizontal="center" vertical="center"/>
    </xf>
    <xf numFmtId="164" fontId="8" fillId="16" borderId="14" xfId="32" applyFont="1" applyFill="1" applyBorder="1" applyAlignment="1" applyProtection="1">
      <alignment horizontal="left"/>
      <protection locked="0"/>
    </xf>
    <xf numFmtId="4" fontId="17" fillId="0" borderId="32" xfId="33" applyNumberFormat="1" applyFont="1" applyFill="1" applyBorder="1" applyAlignment="1" applyProtection="1">
      <alignment horizontal="center" vertical="center" wrapText="1"/>
    </xf>
    <xf numFmtId="0" fontId="17" fillId="0" borderId="32" xfId="33" applyFont="1" applyBorder="1" applyAlignment="1" applyProtection="1">
      <alignment horizontal="center" vertical="center"/>
    </xf>
    <xf numFmtId="0" fontId="23" fillId="0" borderId="32" xfId="33" applyFont="1" applyBorder="1" applyAlignment="1" applyProtection="1">
      <alignment horizontal="center"/>
    </xf>
    <xf numFmtId="0" fontId="0" fillId="0" borderId="32" xfId="33" applyFont="1" applyBorder="1" applyAlignment="1" applyProtection="1">
      <alignment horizontal="center" vertical="center" wrapText="1"/>
    </xf>
    <xf numFmtId="4" fontId="17" fillId="0" borderId="32" xfId="33" applyNumberFormat="1" applyFont="1" applyFill="1" applyBorder="1" applyAlignment="1" applyProtection="1">
      <alignment horizontal="center" vertical="center"/>
    </xf>
    <xf numFmtId="0" fontId="32" fillId="0" borderId="0" xfId="0" applyFont="1" applyBorder="1" applyAlignment="1" applyProtection="1">
      <alignment horizontal="center" vertical="top"/>
    </xf>
    <xf numFmtId="0" fontId="8" fillId="0" borderId="32" xfId="33" applyFont="1" applyBorder="1" applyAlignment="1" applyProtection="1">
      <alignment horizontal="left" vertical="center" wrapText="1"/>
    </xf>
    <xf numFmtId="0" fontId="29" fillId="8" borderId="32" xfId="33" applyFont="1" applyFill="1" applyBorder="1" applyAlignment="1" applyProtection="1">
      <alignment horizontal="center" vertical="center" wrapText="1"/>
    </xf>
    <xf numFmtId="0" fontId="31" fillId="0" borderId="0" xfId="33" applyFont="1" applyBorder="1" applyAlignment="1" applyProtection="1">
      <alignment horizontal="left" vertical="center" indent="1"/>
    </xf>
    <xf numFmtId="0" fontId="0" fillId="0" borderId="0" xfId="33" applyFont="1" applyBorder="1" applyAlignment="1" applyProtection="1">
      <alignment horizontal="center" vertical="center"/>
    </xf>
    <xf numFmtId="0" fontId="32" fillId="0" borderId="0" xfId="0" applyFont="1" applyBorder="1" applyAlignment="1" applyProtection="1">
      <alignment horizontal="right" vertical="center"/>
    </xf>
    <xf numFmtId="0" fontId="0" fillId="0" borderId="10" xfId="33" applyFont="1" applyBorder="1" applyAlignment="1" applyProtection="1">
      <alignment horizontal="left" vertical="center"/>
    </xf>
    <xf numFmtId="167" fontId="0" fillId="0" borderId="30" xfId="33" applyNumberFormat="1" applyFont="1" applyFill="1" applyBorder="1" applyAlignment="1" applyProtection="1">
      <alignment horizontal="left"/>
    </xf>
    <xf numFmtId="186" fontId="0" fillId="0" borderId="30" xfId="33" applyNumberFormat="1" applyFont="1" applyFill="1" applyBorder="1" applyAlignment="1" applyProtection="1">
      <alignment horizontal="left"/>
    </xf>
    <xf numFmtId="0" fontId="24" fillId="0" borderId="0" xfId="33" applyFont="1" applyBorder="1" applyAlignment="1" applyProtection="1">
      <alignment horizontal="left" vertical="center"/>
    </xf>
    <xf numFmtId="0" fontId="17" fillId="0" borderId="0" xfId="33" applyFont="1" applyBorder="1" applyAlignment="1" applyProtection="1">
      <alignment horizontal="left" vertical="center"/>
    </xf>
    <xf numFmtId="0" fontId="33" fillId="0" borderId="0" xfId="0" applyFont="1" applyBorder="1" applyAlignment="1" applyProtection="1">
      <alignment horizontal="center"/>
    </xf>
    <xf numFmtId="0" fontId="32" fillId="0" borderId="0" xfId="0" applyFont="1" applyBorder="1" applyAlignment="1" applyProtection="1">
      <alignment horizontal="left" vertical="center"/>
    </xf>
    <xf numFmtId="49" fontId="0" fillId="6" borderId="32" xfId="33" applyNumberFormat="1" applyFont="1" applyFill="1" applyBorder="1" applyAlignment="1" applyProtection="1">
      <alignment horizontal="left" vertical="top" wrapText="1"/>
      <protection locked="0"/>
    </xf>
    <xf numFmtId="0" fontId="38" fillId="0" borderId="0" xfId="0" applyFont="1" applyBorder="1" applyAlignment="1">
      <alignment horizontal="center" textRotation="90"/>
    </xf>
    <xf numFmtId="186" fontId="0" fillId="0" borderId="0" xfId="0" applyNumberFormat="1" applyFont="1" applyBorder="1" applyAlignment="1" applyProtection="1">
      <alignment horizontal="left"/>
    </xf>
    <xf numFmtId="0" fontId="24" fillId="17" borderId="13" xfId="0" applyNumberFormat="1" applyFont="1" applyFill="1" applyBorder="1" applyAlignment="1" applyProtection="1">
      <alignment horizontal="left" vertical="center" wrapText="1"/>
    </xf>
    <xf numFmtId="0" fontId="29" fillId="0" borderId="32" xfId="0" applyFont="1" applyBorder="1" applyAlignment="1" applyProtection="1">
      <alignment horizontal="left" vertical="center"/>
      <protection locked="0"/>
    </xf>
    <xf numFmtId="0" fontId="29" fillId="6" borderId="14" xfId="0" applyFont="1" applyFill="1" applyBorder="1" applyAlignment="1" applyProtection="1">
      <alignment horizontal="left" vertical="top" wrapText="1"/>
      <protection locked="0"/>
    </xf>
    <xf numFmtId="0" fontId="17" fillId="0" borderId="32" xfId="0" applyFont="1" applyFill="1" applyBorder="1" applyAlignment="1" applyProtection="1">
      <alignment horizontal="left" wrapText="1"/>
    </xf>
    <xf numFmtId="167" fontId="0" fillId="0" borderId="30" xfId="0" applyNumberFormat="1" applyFont="1" applyBorder="1" applyAlignment="1" applyProtection="1">
      <alignment horizontal="left"/>
    </xf>
    <xf numFmtId="0" fontId="0" fillId="0" borderId="32" xfId="0" applyFont="1" applyFill="1" applyBorder="1" applyAlignment="1" applyProtection="1">
      <alignment horizontal="left" wrapText="1"/>
    </xf>
    <xf numFmtId="0" fontId="0" fillId="14" borderId="0" xfId="0" applyFont="1" applyFill="1" applyBorder="1" applyAlignment="1">
      <alignment horizontal="left"/>
    </xf>
    <xf numFmtId="0" fontId="0" fillId="0" borderId="47" xfId="33" applyFont="1" applyFill="1" applyBorder="1" applyAlignment="1" applyProtection="1">
      <alignment horizontal="left" vertical="top" wrapText="1"/>
    </xf>
    <xf numFmtId="0" fontId="0" fillId="0" borderId="32" xfId="0" applyFont="1" applyBorder="1" applyAlignment="1">
      <alignment horizontal="center"/>
    </xf>
    <xf numFmtId="0" fontId="24" fillId="0" borderId="33" xfId="35" applyFont="1" applyBorder="1" applyAlignment="1" applyProtection="1">
      <alignment horizontal="left" vertical="top"/>
    </xf>
    <xf numFmtId="0" fontId="58" fillId="0" borderId="0" xfId="0" applyFont="1" applyBorder="1" applyAlignment="1">
      <alignment horizontal="center" textRotation="90" wrapText="1"/>
    </xf>
    <xf numFmtId="0" fontId="24" fillId="0" borderId="12" xfId="0" applyFont="1" applyBorder="1" applyAlignment="1">
      <alignment horizontal="center"/>
    </xf>
    <xf numFmtId="0" fontId="38" fillId="0" borderId="0" xfId="0" applyFont="1" applyBorder="1" applyAlignment="1">
      <alignment horizontal="center" textRotation="90" wrapText="1"/>
    </xf>
    <xf numFmtId="0" fontId="23" fillId="0" borderId="0" xfId="0" applyFont="1" applyBorder="1" applyAlignment="1">
      <alignment horizontal="left" vertical="center" indent="10"/>
    </xf>
    <xf numFmtId="0" fontId="36" fillId="0" borderId="0" xfId="0" applyFont="1" applyBorder="1" applyAlignment="1">
      <alignment horizontal="left" vertical="center" indent="10"/>
    </xf>
    <xf numFmtId="0" fontId="24" fillId="17" borderId="32" xfId="0" applyNumberFormat="1" applyFont="1" applyFill="1" applyBorder="1" applyAlignment="1" applyProtection="1">
      <alignment horizontal="left" vertical="center" wrapText="1"/>
    </xf>
    <xf numFmtId="0" fontId="43" fillId="6" borderId="32" xfId="0" applyFont="1" applyFill="1" applyBorder="1" applyAlignment="1" applyProtection="1">
      <alignment horizontal="left" vertical="center"/>
      <protection locked="0"/>
    </xf>
    <xf numFmtId="0" fontId="0" fillId="16" borderId="111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left" vertical="top" wrapText="1"/>
    </xf>
    <xf numFmtId="0" fontId="12" fillId="0" borderId="32" xfId="0" applyFont="1" applyBorder="1" applyProtection="1"/>
    <xf numFmtId="0" fontId="43" fillId="18" borderId="32" xfId="0" applyFont="1" applyFill="1" applyBorder="1" applyAlignment="1" applyProtection="1">
      <alignment horizontal="left" vertical="center"/>
    </xf>
    <xf numFmtId="0" fontId="43" fillId="0" borderId="14" xfId="34" applyFont="1" applyBorder="1" applyAlignment="1">
      <alignment horizontal="left"/>
    </xf>
    <xf numFmtId="0" fontId="43" fillId="0" borderId="0" xfId="34" applyFont="1" applyBorder="1" applyAlignment="1">
      <alignment horizontal="center" wrapText="1"/>
    </xf>
    <xf numFmtId="0" fontId="47" fillId="0" borderId="11" xfId="34" applyFont="1" applyBorder="1" applyAlignment="1">
      <alignment horizontal="left" vertical="top"/>
    </xf>
    <xf numFmtId="0" fontId="43" fillId="0" borderId="32" xfId="34" applyFont="1" applyBorder="1" applyAlignment="1">
      <alignment horizontal="center" wrapText="1"/>
    </xf>
    <xf numFmtId="0" fontId="46" fillId="0" borderId="13" xfId="34" applyFont="1" applyBorder="1" applyAlignment="1">
      <alignment horizontal="center" vertical="center" wrapText="1"/>
    </xf>
    <xf numFmtId="0" fontId="46" fillId="0" borderId="45" xfId="34" applyFont="1" applyBorder="1" applyAlignment="1">
      <alignment horizontal="left" vertical="center" wrapText="1"/>
    </xf>
    <xf numFmtId="186" fontId="0" fillId="0" borderId="30" xfId="0" applyNumberFormat="1" applyFont="1" applyBorder="1" applyAlignment="1" applyProtection="1">
      <alignment horizontal="left"/>
    </xf>
    <xf numFmtId="0" fontId="43" fillId="0" borderId="47" xfId="34" applyFont="1" applyBorder="1" applyAlignment="1">
      <alignment horizontal="left"/>
    </xf>
    <xf numFmtId="165" fontId="24" fillId="0" borderId="46" xfId="49" applyFont="1" applyFill="1" applyBorder="1" applyAlignment="1" applyProtection="1">
      <alignment horizontal="center" vertical="center" wrapText="1"/>
    </xf>
    <xf numFmtId="173" fontId="24" fillId="0" borderId="32" xfId="48" applyNumberFormat="1" applyFont="1" applyFill="1" applyBorder="1" applyAlignment="1" applyProtection="1">
      <alignment horizontal="center" vertical="center"/>
    </xf>
    <xf numFmtId="165" fontId="0" fillId="0" borderId="14" xfId="49" applyFont="1" applyFill="1" applyBorder="1" applyAlignment="1" applyProtection="1">
      <alignment horizontal="left"/>
    </xf>
    <xf numFmtId="0" fontId="22" fillId="0" borderId="30" xfId="34" applyFont="1" applyBorder="1" applyAlignment="1">
      <alignment horizontal="center" vertical="center" wrapText="1"/>
    </xf>
    <xf numFmtId="0" fontId="24" fillId="8" borderId="1" xfId="0" applyFont="1" applyFill="1" applyBorder="1" applyAlignment="1">
      <alignment horizontal="center" wrapText="1"/>
    </xf>
    <xf numFmtId="0" fontId="0" fillId="0" borderId="40" xfId="0" applyBorder="1" applyAlignment="1">
      <alignment horizontal="left"/>
    </xf>
    <xf numFmtId="0" fontId="46" fillId="0" borderId="31" xfId="34" applyFont="1" applyBorder="1" applyAlignment="1">
      <alignment horizontal="center"/>
    </xf>
    <xf numFmtId="0" fontId="56" fillId="0" borderId="112" xfId="0" applyFont="1" applyBorder="1" applyAlignment="1">
      <alignment horizontal="center" vertical="top" wrapText="1"/>
    </xf>
    <xf numFmtId="0" fontId="23" fillId="6" borderId="14" xfId="0" applyFont="1" applyFill="1" applyBorder="1" applyAlignment="1" applyProtection="1">
      <alignment horizontal="center"/>
      <protection locked="0"/>
    </xf>
    <xf numFmtId="0" fontId="23" fillId="0" borderId="14" xfId="0" applyFont="1" applyBorder="1" applyAlignment="1">
      <alignment horizontal="center"/>
    </xf>
    <xf numFmtId="0" fontId="43" fillId="0" borderId="14" xfId="34" applyNumberFormat="1" applyFont="1" applyBorder="1" applyAlignment="1">
      <alignment horizontal="center"/>
    </xf>
    <xf numFmtId="10" fontId="23" fillId="0" borderId="14" xfId="37" applyNumberFormat="1" applyFont="1" applyFill="1" applyBorder="1" applyAlignment="1" applyProtection="1">
      <alignment horizontal="center"/>
    </xf>
    <xf numFmtId="0" fontId="24" fillId="8" borderId="32" xfId="0" applyFont="1" applyFill="1" applyBorder="1" applyAlignment="1">
      <alignment horizontal="center"/>
    </xf>
    <xf numFmtId="14" fontId="0" fillId="6" borderId="48" xfId="0" applyNumberFormat="1" applyFill="1" applyBorder="1" applyAlignment="1" applyProtection="1">
      <alignment horizontal="center"/>
      <protection locked="0"/>
    </xf>
    <xf numFmtId="0" fontId="0" fillId="18" borderId="40" xfId="0" applyFont="1" applyFill="1" applyBorder="1"/>
    <xf numFmtId="10" fontId="52" fillId="0" borderId="10" xfId="37" applyNumberFormat="1" applyFill="1" applyBorder="1" applyAlignment="1" applyProtection="1">
      <alignment horizontal="center"/>
    </xf>
    <xf numFmtId="10" fontId="52" fillId="0" borderId="34" xfId="37" applyNumberFormat="1" applyFill="1" applyBorder="1" applyAlignment="1" applyProtection="1">
      <alignment horizontal="center"/>
    </xf>
    <xf numFmtId="176" fontId="24" fillId="8" borderId="32" xfId="0" applyNumberFormat="1" applyFont="1" applyFill="1" applyBorder="1" applyAlignment="1">
      <alignment horizontal="center" shrinkToFit="1"/>
    </xf>
    <xf numFmtId="14" fontId="0" fillId="6" borderId="49" xfId="0" applyNumberFormat="1" applyFill="1" applyBorder="1" applyAlignment="1" applyProtection="1">
      <alignment horizontal="center"/>
      <protection locked="0"/>
    </xf>
    <xf numFmtId="177" fontId="52" fillId="0" borderId="14" xfId="48" applyNumberFormat="1" applyFill="1" applyBorder="1" applyAlignment="1" applyProtection="1">
      <alignment horizontal="center" shrinkToFit="1"/>
    </xf>
    <xf numFmtId="10" fontId="52" fillId="0" borderId="31" xfId="37" applyNumberFormat="1" applyFill="1" applyBorder="1" applyAlignment="1" applyProtection="1">
      <alignment horizontal="center"/>
    </xf>
    <xf numFmtId="10" fontId="52" fillId="0" borderId="33" xfId="37" applyNumberFormat="1" applyFill="1" applyBorder="1" applyAlignment="1" applyProtection="1">
      <alignment horizontal="center"/>
    </xf>
    <xf numFmtId="0" fontId="24" fillId="0" borderId="32" xfId="0" applyFont="1" applyBorder="1" applyAlignment="1">
      <alignment horizontal="right" vertical="center"/>
    </xf>
    <xf numFmtId="10" fontId="52" fillId="0" borderId="0" xfId="37" applyNumberFormat="1" applyFill="1" applyBorder="1" applyAlignment="1" applyProtection="1">
      <alignment horizontal="center"/>
    </xf>
    <xf numFmtId="177" fontId="52" fillId="0" borderId="30" xfId="48" applyNumberFormat="1" applyFill="1" applyBorder="1" applyAlignment="1" applyProtection="1">
      <alignment horizontal="center" shrinkToFit="1"/>
    </xf>
    <xf numFmtId="177" fontId="52" fillId="0" borderId="47" xfId="48" applyNumberFormat="1" applyFill="1" applyBorder="1" applyAlignment="1" applyProtection="1">
      <alignment horizontal="center" shrinkToFit="1"/>
    </xf>
    <xf numFmtId="10" fontId="52" fillId="0" borderId="82" xfId="37" applyNumberFormat="1" applyFill="1" applyBorder="1" applyAlignment="1" applyProtection="1">
      <alignment horizontal="center"/>
    </xf>
    <xf numFmtId="14" fontId="0" fillId="6" borderId="37" xfId="0" applyNumberFormat="1" applyFill="1" applyBorder="1" applyAlignment="1" applyProtection="1">
      <alignment horizontal="center"/>
      <protection locked="0"/>
    </xf>
    <xf numFmtId="4" fontId="24" fillId="0" borderId="33" xfId="0" applyNumberFormat="1" applyFont="1" applyBorder="1" applyAlignment="1">
      <alignment horizontal="left"/>
    </xf>
    <xf numFmtId="0" fontId="24" fillId="0" borderId="31" xfId="35" applyFont="1" applyBorder="1" applyAlignment="1" applyProtection="1">
      <alignment horizontal="center"/>
    </xf>
    <xf numFmtId="49" fontId="0" fillId="0" borderId="47" xfId="0" applyNumberFormat="1" applyBorder="1" applyAlignment="1">
      <alignment horizontal="left"/>
    </xf>
    <xf numFmtId="0" fontId="0" fillId="0" borderId="0" xfId="0" applyFont="1" applyBorder="1" applyAlignment="1" applyProtection="1">
      <alignment horizontal="center" wrapText="1"/>
    </xf>
    <xf numFmtId="0" fontId="24" fillId="8" borderId="46" xfId="0" applyFont="1" applyFill="1" applyBorder="1" applyAlignment="1">
      <alignment horizontal="center" vertical="center"/>
    </xf>
    <xf numFmtId="0" fontId="22" fillId="0" borderId="12" xfId="0" applyFont="1" applyBorder="1" applyAlignment="1">
      <alignment horizontal="center" wrapText="1"/>
    </xf>
    <xf numFmtId="0" fontId="50" fillId="0" borderId="13" xfId="0" applyFont="1" applyBorder="1" applyAlignment="1" applyProtection="1">
      <alignment horizontal="center" vertical="center" wrapText="1"/>
    </xf>
    <xf numFmtId="0" fontId="24" fillId="0" borderId="0" xfId="0" applyFont="1" applyBorder="1" applyAlignment="1">
      <alignment horizontal="center" wrapText="1"/>
    </xf>
    <xf numFmtId="0" fontId="0" fillId="0" borderId="14" xfId="0" applyNumberFormat="1" applyBorder="1" applyAlignment="1">
      <alignment horizontal="center"/>
    </xf>
    <xf numFmtId="0" fontId="30" fillId="0" borderId="0" xfId="0" applyFont="1" applyBorder="1" applyAlignment="1">
      <alignment horizontal="right" vertical="center" wrapText="1"/>
    </xf>
    <xf numFmtId="165" fontId="23" fillId="0" borderId="0" xfId="0" applyNumberFormat="1" applyFont="1" applyBorder="1" applyAlignment="1">
      <alignment horizontal="right" vertical="top"/>
    </xf>
    <xf numFmtId="0" fontId="24" fillId="8" borderId="32" xfId="0" applyFont="1" applyFill="1" applyBorder="1" applyAlignment="1" applyProtection="1">
      <alignment horizontal="center"/>
    </xf>
    <xf numFmtId="0" fontId="24" fillId="0" borderId="14" xfId="0" applyFont="1" applyBorder="1" applyAlignment="1">
      <alignment horizontal="center"/>
    </xf>
    <xf numFmtId="0" fontId="24" fillId="0" borderId="14" xfId="0" applyFont="1" applyFill="1" applyBorder="1" applyAlignment="1">
      <alignment horizontal="center"/>
    </xf>
    <xf numFmtId="0" fontId="23" fillId="6" borderId="33" xfId="0" applyFont="1" applyFill="1" applyBorder="1" applyAlignment="1">
      <alignment horizontal="left"/>
    </xf>
    <xf numFmtId="0" fontId="0" fillId="0" borderId="0" xfId="0" applyFont="1" applyFill="1" applyBorder="1" applyAlignment="1" applyProtection="1">
      <alignment horizontal="left" wrapText="1"/>
    </xf>
    <xf numFmtId="171" fontId="24" fillId="8" borderId="14" xfId="48" applyNumberFormat="1" applyFont="1" applyFill="1" applyBorder="1" applyAlignment="1" applyProtection="1">
      <alignment horizontal="center" vertical="center" shrinkToFit="1"/>
    </xf>
    <xf numFmtId="0" fontId="29" fillId="0" borderId="31" xfId="0" applyFont="1" applyBorder="1" applyAlignment="1" applyProtection="1">
      <alignment horizontal="left" vertical="center"/>
    </xf>
    <xf numFmtId="0" fontId="0" fillId="0" borderId="31" xfId="0" applyFont="1" applyBorder="1" applyAlignment="1">
      <alignment horizontal="left"/>
    </xf>
    <xf numFmtId="0" fontId="0" fillId="6" borderId="14" xfId="0" applyFill="1" applyBorder="1" applyAlignment="1" applyProtection="1">
      <alignment horizontal="left" vertical="top"/>
      <protection locked="0"/>
    </xf>
    <xf numFmtId="0" fontId="24" fillId="17" borderId="47" xfId="0" applyNumberFormat="1" applyFont="1" applyFill="1" applyBorder="1" applyAlignment="1" applyProtection="1">
      <alignment horizontal="left" vertical="center" wrapText="1"/>
    </xf>
    <xf numFmtId="0" fontId="0" fillId="6" borderId="0" xfId="33" applyNumberFormat="1" applyFont="1" applyFill="1" applyBorder="1" applyAlignment="1" applyProtection="1">
      <alignment horizontal="left" vertical="top"/>
      <protection locked="0"/>
    </xf>
    <xf numFmtId="0" fontId="0" fillId="0" borderId="0" xfId="0" applyFont="1" applyBorder="1" applyAlignment="1">
      <alignment horizontal="left"/>
    </xf>
    <xf numFmtId="0" fontId="17" fillId="0" borderId="30" xfId="33" applyFont="1" applyBorder="1" applyAlignment="1" applyProtection="1">
      <alignment horizontal="center" vertical="center"/>
    </xf>
    <xf numFmtId="4" fontId="24" fillId="0" borderId="31" xfId="0" applyNumberFormat="1" applyFont="1" applyBorder="1" applyAlignment="1">
      <alignment horizontal="left"/>
    </xf>
    <xf numFmtId="49" fontId="0" fillId="0" borderId="14" xfId="0" applyNumberFormat="1" applyBorder="1" applyAlignment="1">
      <alignment horizontal="left"/>
    </xf>
    <xf numFmtId="0" fontId="24" fillId="0" borderId="34" xfId="0" applyFont="1" applyBorder="1" applyAlignment="1" applyProtection="1">
      <alignment horizontal="center"/>
    </xf>
    <xf numFmtId="0" fontId="50" fillId="0" borderId="32" xfId="0" applyFont="1" applyBorder="1" applyAlignment="1" applyProtection="1">
      <alignment horizontal="center" vertical="center" wrapText="1"/>
    </xf>
    <xf numFmtId="0" fontId="24" fillId="0" borderId="32" xfId="0" applyFont="1" applyBorder="1" applyAlignment="1">
      <alignment horizontal="center"/>
    </xf>
    <xf numFmtId="0" fontId="24" fillId="0" borderId="64" xfId="0" applyFont="1" applyBorder="1" applyAlignment="1">
      <alignment horizontal="center"/>
    </xf>
    <xf numFmtId="0" fontId="24" fillId="0" borderId="32" xfId="0" applyFont="1" applyBorder="1" applyAlignment="1">
      <alignment horizontal="center" vertical="center"/>
    </xf>
    <xf numFmtId="0" fontId="0" fillId="0" borderId="87" xfId="0" applyFont="1" applyFill="1" applyBorder="1" applyAlignment="1">
      <alignment horizontal="center" vertical="center"/>
    </xf>
    <xf numFmtId="0" fontId="0" fillId="0" borderId="73" xfId="0" applyFont="1" applyFill="1" applyBorder="1" applyAlignment="1">
      <alignment horizontal="center" vertical="center"/>
    </xf>
    <xf numFmtId="0" fontId="17" fillId="8" borderId="32" xfId="0" applyFont="1" applyFill="1" applyBorder="1" applyAlignment="1">
      <alignment horizontal="center" vertical="center"/>
    </xf>
    <xf numFmtId="0" fontId="17" fillId="8" borderId="46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right"/>
    </xf>
    <xf numFmtId="0" fontId="24" fillId="0" borderId="33" xfId="35" applyFont="1" applyBorder="1" applyAlignment="1" applyProtection="1">
      <alignment horizontal="center"/>
    </xf>
    <xf numFmtId="0" fontId="24" fillId="0" borderId="0" xfId="35" applyFont="1" applyBorder="1" applyAlignment="1" applyProtection="1">
      <alignment horizontal="center"/>
    </xf>
    <xf numFmtId="0" fontId="24" fillId="0" borderId="12" xfId="35" applyFont="1" applyBorder="1" applyAlignment="1" applyProtection="1">
      <alignment horizontal="center"/>
    </xf>
    <xf numFmtId="0" fontId="29" fillId="6" borderId="33" xfId="0" applyFont="1" applyFill="1" applyBorder="1" applyAlignment="1" applyProtection="1">
      <alignment horizontal="left" vertical="top" wrapText="1"/>
      <protection locked="0"/>
    </xf>
    <xf numFmtId="0" fontId="29" fillId="6" borderId="0" xfId="0" applyFont="1" applyFill="1" applyBorder="1" applyAlignment="1" applyProtection="1">
      <alignment horizontal="left" vertical="top" wrapText="1"/>
      <protection locked="0"/>
    </xf>
    <xf numFmtId="0" fontId="29" fillId="6" borderId="12" xfId="0" applyFont="1" applyFill="1" applyBorder="1" applyAlignment="1" applyProtection="1">
      <alignment horizontal="left" vertical="top" wrapText="1"/>
      <protection locked="0"/>
    </xf>
    <xf numFmtId="0" fontId="29" fillId="6" borderId="47" xfId="0" applyFont="1" applyFill="1" applyBorder="1" applyAlignment="1" applyProtection="1">
      <alignment horizontal="left" vertical="top" wrapText="1"/>
      <protection locked="0"/>
    </xf>
    <xf numFmtId="0" fontId="29" fillId="6" borderId="30" xfId="0" applyFont="1" applyFill="1" applyBorder="1" applyAlignment="1" applyProtection="1">
      <alignment horizontal="left" vertical="top" wrapText="1"/>
      <protection locked="0"/>
    </xf>
    <xf numFmtId="0" fontId="29" fillId="6" borderId="29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/>
    </xf>
    <xf numFmtId="0" fontId="0" fillId="8" borderId="84" xfId="0" applyFont="1" applyFill="1" applyBorder="1" applyAlignment="1">
      <alignment horizontal="center" vertical="center"/>
    </xf>
    <xf numFmtId="0" fontId="0" fillId="8" borderId="67" xfId="0" applyFont="1" applyFill="1" applyBorder="1" applyAlignment="1">
      <alignment horizontal="center" vertical="center"/>
    </xf>
    <xf numFmtId="10" fontId="24" fillId="8" borderId="32" xfId="0" applyNumberFormat="1" applyFont="1" applyFill="1" applyBorder="1" applyAlignment="1">
      <alignment horizontal="center" vertical="center"/>
    </xf>
    <xf numFmtId="0" fontId="0" fillId="0" borderId="42" xfId="0" applyFont="1" applyFill="1" applyBorder="1" applyAlignment="1">
      <alignment horizontal="center" vertical="center"/>
    </xf>
    <xf numFmtId="0" fontId="0" fillId="0" borderId="69" xfId="0" applyFont="1" applyFill="1" applyBorder="1" applyAlignment="1">
      <alignment horizontal="center" vertical="center"/>
    </xf>
    <xf numFmtId="0" fontId="0" fillId="8" borderId="42" xfId="0" applyFont="1" applyFill="1" applyBorder="1" applyAlignment="1">
      <alignment horizontal="center" vertical="center"/>
    </xf>
    <xf numFmtId="0" fontId="0" fillId="8" borderId="69" xfId="0" applyFont="1" applyFill="1" applyBorder="1" applyAlignment="1">
      <alignment horizontal="center" vertical="center"/>
    </xf>
    <xf numFmtId="0" fontId="24" fillId="8" borderId="113" xfId="0" applyFont="1" applyFill="1" applyBorder="1" applyAlignment="1">
      <alignment horizontal="center" vertical="center" wrapText="1"/>
    </xf>
    <xf numFmtId="0" fontId="24" fillId="8" borderId="114" xfId="0" applyFont="1" applyFill="1" applyBorder="1" applyAlignment="1">
      <alignment horizontal="center" vertical="center" wrapText="1"/>
    </xf>
    <xf numFmtId="49" fontId="0" fillId="6" borderId="0" xfId="33" applyNumberFormat="1" applyFont="1" applyFill="1" applyBorder="1" applyAlignment="1" applyProtection="1">
      <alignment horizontal="left"/>
      <protection locked="0"/>
    </xf>
    <xf numFmtId="168" fontId="0" fillId="0" borderId="0" xfId="33" applyNumberFormat="1" applyFont="1" applyFill="1" applyBorder="1" applyAlignment="1" applyProtection="1">
      <alignment horizontal="right"/>
    </xf>
    <xf numFmtId="0" fontId="0" fillId="0" borderId="0" xfId="33" applyFont="1" applyFill="1" applyBorder="1" applyAlignment="1" applyProtection="1">
      <alignment horizontal="left"/>
    </xf>
    <xf numFmtId="0" fontId="0" fillId="0" borderId="0" xfId="33" applyFont="1" applyBorder="1" applyAlignment="1" applyProtection="1">
      <alignment horizontal="center"/>
    </xf>
    <xf numFmtId="171" fontId="24" fillId="8" borderId="115" xfId="48" applyFont="1" applyFill="1" applyBorder="1" applyAlignment="1" applyProtection="1">
      <alignment horizontal="center" vertical="center"/>
    </xf>
    <xf numFmtId="171" fontId="24" fillId="8" borderId="116" xfId="48" applyFont="1" applyFill="1" applyBorder="1" applyAlignment="1" applyProtection="1">
      <alignment horizontal="center" vertical="center"/>
    </xf>
    <xf numFmtId="0" fontId="24" fillId="8" borderId="117" xfId="0" applyFont="1" applyFill="1" applyBorder="1" applyAlignment="1">
      <alignment horizontal="center" vertical="center" wrapText="1"/>
    </xf>
    <xf numFmtId="0" fontId="24" fillId="8" borderId="87" xfId="0" applyFont="1" applyFill="1" applyBorder="1" applyAlignment="1">
      <alignment horizontal="center" vertical="center" wrapText="1"/>
    </xf>
    <xf numFmtId="0" fontId="0" fillId="0" borderId="0" xfId="33" applyFont="1" applyBorder="1" applyAlignment="1" applyProtection="1">
      <alignment horizontal="left" vertical="top" wrapText="1"/>
    </xf>
    <xf numFmtId="0" fontId="0" fillId="0" borderId="53" xfId="33" applyFont="1" applyBorder="1" applyAlignment="1" applyProtection="1">
      <alignment horizontal="center"/>
    </xf>
    <xf numFmtId="0" fontId="0" fillId="0" borderId="0" xfId="33" applyFont="1" applyFill="1" applyBorder="1" applyAlignment="1" applyProtection="1">
      <alignment horizontal="left" wrapText="1"/>
    </xf>
    <xf numFmtId="0" fontId="0" fillId="0" borderId="0" xfId="33" applyNumberFormat="1" applyFont="1" applyFill="1" applyBorder="1" applyAlignment="1" applyProtection="1">
      <alignment vertical="center"/>
    </xf>
    <xf numFmtId="0" fontId="0" fillId="6" borderId="0" xfId="33" applyFont="1" applyFill="1" applyBorder="1" applyAlignment="1" applyProtection="1">
      <alignment horizontal="left" vertical="top"/>
      <protection locked="0"/>
    </xf>
    <xf numFmtId="0" fontId="0" fillId="0" borderId="0" xfId="33" applyFont="1" applyFill="1" applyBorder="1" applyAlignment="1" applyProtection="1">
      <alignment horizontal="left" vertical="top" wrapText="1" shrinkToFit="1"/>
    </xf>
    <xf numFmtId="0" fontId="0" fillId="0" borderId="0" xfId="33" applyNumberFormat="1" applyFont="1" applyFill="1" applyBorder="1" applyAlignment="1" applyProtection="1">
      <alignment horizontal="left" vertical="top" wrapText="1"/>
    </xf>
    <xf numFmtId="0" fontId="0" fillId="0" borderId="54" xfId="33" applyFont="1" applyFill="1" applyBorder="1" applyAlignment="1" applyProtection="1">
      <alignment horizontal="center" vertical="center" wrapText="1"/>
    </xf>
    <xf numFmtId="0" fontId="0" fillId="0" borderId="68" xfId="33" applyFont="1" applyBorder="1" applyAlignment="1" applyProtection="1">
      <alignment horizontal="center" vertical="center" wrapText="1"/>
    </xf>
    <xf numFmtId="0" fontId="0" fillId="0" borderId="39" xfId="33" applyFont="1" applyBorder="1" applyAlignment="1" applyProtection="1">
      <alignment horizontal="right"/>
    </xf>
    <xf numFmtId="180" fontId="24" fillId="0" borderId="41" xfId="48" applyNumberFormat="1" applyFont="1" applyFill="1" applyBorder="1" applyAlignment="1" applyProtection="1">
      <alignment vertical="top" shrinkToFit="1"/>
    </xf>
    <xf numFmtId="0" fontId="0" fillId="0" borderId="0" xfId="33" applyNumberFormat="1" applyFont="1" applyFill="1" applyBorder="1" applyAlignment="1" applyProtection="1">
      <alignment horizontal="left" vertical="top"/>
    </xf>
    <xf numFmtId="0" fontId="0" fillId="0" borderId="0" xfId="0" applyFont="1"/>
    <xf numFmtId="0" fontId="0" fillId="0" borderId="74" xfId="33" applyFont="1" applyBorder="1" applyAlignment="1" applyProtection="1">
      <alignment horizontal="right"/>
    </xf>
    <xf numFmtId="10" fontId="24" fillId="0" borderId="75" xfId="37" applyNumberFormat="1" applyFont="1" applyFill="1" applyBorder="1" applyAlignment="1" applyProtection="1">
      <alignment horizontal="right" vertical="top" shrinkToFit="1"/>
    </xf>
    <xf numFmtId="0" fontId="0" fillId="6" borderId="0" xfId="33" applyFont="1" applyFill="1" applyBorder="1" applyAlignment="1" applyProtection="1">
      <alignment horizontal="left" vertical="top" wrapText="1"/>
      <protection locked="0"/>
    </xf>
  </cellXfs>
  <cellStyles count="50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Hyperlink" xfId="30" builtinId="8"/>
    <cellStyle name="Moeda" xfId="31" builtinId="4"/>
    <cellStyle name="Moeda_Composicao BDI v2.1" xfId="32"/>
    <cellStyle name="Normal" xfId="0" builtinId="0"/>
    <cellStyle name="Normal 2" xfId="33"/>
    <cellStyle name="Normal 3" xfId="34"/>
    <cellStyle name="Normal_FICHA DE VERIFICAÇÃO PRELIMINAR - Plano R" xfId="35"/>
    <cellStyle name="Nota" xfId="36" builtinId="10" customBuiltin="1"/>
    <cellStyle name="Porcentagem" xfId="37" builtinId="5"/>
    <cellStyle name="Porcentagem 2" xfId="38"/>
    <cellStyle name="Saída" xfId="39" builtinId="21" customBuiltin="1"/>
    <cellStyle name="Separador de milhares" xfId="48" builtinId="3"/>
    <cellStyle name="Texto de Aviso" xfId="40" builtinId="11" customBuiltin="1"/>
    <cellStyle name="Texto Explicativo" xfId="41" builtinId="53" customBuiltin="1"/>
    <cellStyle name="Título 1" xfId="42" builtinId="16" customBuiltin="1"/>
    <cellStyle name="Título 2" xfId="43" builtinId="17" customBuiltin="1"/>
    <cellStyle name="Título 3" xfId="44" builtinId="18" customBuiltin="1"/>
    <cellStyle name="Título 4" xfId="45" builtinId="19" customBuiltin="1"/>
    <cellStyle name="Título 5" xfId="46"/>
    <cellStyle name="Total" xfId="47" builtinId="25" customBuiltin="1"/>
    <cellStyle name="Vírgula 2" xfId="49"/>
  </cellStyles>
  <dxfs count="146"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ill>
        <patternFill patternType="solid">
          <fgColor indexed="13"/>
          <bgColor indexed="51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border>
        <left/>
        <right style="thin">
          <color indexed="64"/>
        </right>
      </border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theme="0"/>
      </font>
      <border>
        <left/>
        <right/>
      </border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9"/>
      </font>
      <border>
        <left/>
      </border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</dxf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10"/>
      </font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2F2FF"/>
      <rgbColor rgb="00DFDFDF"/>
      <rgbColor rgb="00FFFF99"/>
      <rgbColor rgb="00BFBFBF"/>
      <rgbColor rgb="00FF99CC"/>
      <rgbColor rgb="00A7A7A7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OR&#199;AMENTO!M13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BDI!Q1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C&#193;LCULO!D13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EVENTOS!A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OR&#199;AMENTO!M13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C&#193;LCULO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CRONOPLE!B2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CRONO!E7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C&#193;LCULO!D13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RRE!E13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RRE!E13"/><Relationship Id="rId2" Type="http://schemas.openxmlformats.org/officeDocument/2006/relationships/image" Target="../media/image2.emf"/><Relationship Id="rId1" Type="http://schemas.openxmlformats.org/officeDocument/2006/relationships/hyperlink" Target="#Menu!E6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Of&#237;cio!C6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RRE!E13"/><Relationship Id="rId1" Type="http://schemas.openxmlformats.org/officeDocument/2006/relationships/hyperlink" Target="#Menu!E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2087880</xdr:colOff>
      <xdr:row>2</xdr:row>
      <xdr:rowOff>259080</xdr:rowOff>
    </xdr:to>
    <xdr:pic>
      <xdr:nvPicPr>
        <xdr:cNvPr id="20321" name="Imagem 23">
          <a:extLst>
            <a:ext uri="{FF2B5EF4-FFF2-40B4-BE49-F238E27FC236}">
              <a16:creationId xmlns:a16="http://schemas.microsoft.com/office/drawing/2014/main" xmlns="" id="{00000000-0008-0000-0000-0000614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8120" y="190500"/>
          <a:ext cx="2476500" cy="5410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9526</xdr:colOff>
      <xdr:row>6</xdr:row>
      <xdr:rowOff>160019</xdr:rowOff>
    </xdr:from>
    <xdr:to>
      <xdr:col>9</xdr:col>
      <xdr:colOff>1144906</xdr:colOff>
      <xdr:row>9</xdr:row>
      <xdr:rowOff>38099</xdr:rowOff>
    </xdr:to>
    <xdr:sp macro="[0]!imprimirPROPOSTA" textlink="" fLocksText="0">
      <xdr:nvSpPr>
        <xdr:cNvPr id="10" name="Bot.ImprimirProposta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9629776" y="1600199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9525</xdr:colOff>
      <xdr:row>14</xdr:row>
      <xdr:rowOff>160020</xdr:rowOff>
    </xdr:from>
    <xdr:to>
      <xdr:col>9</xdr:col>
      <xdr:colOff>1144905</xdr:colOff>
      <xdr:row>17</xdr:row>
      <xdr:rowOff>38100</xdr:rowOff>
    </xdr:to>
    <xdr:sp macro="[0]!imprimirLICITADO" textlink="" fLocksText="0">
      <xdr:nvSpPr>
        <xdr:cNvPr id="12" name="Bot.ImprimirLicitacao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9629775" y="322897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0</xdr:colOff>
      <xdr:row>18</xdr:row>
      <xdr:rowOff>142875</xdr:rowOff>
    </xdr:from>
    <xdr:to>
      <xdr:col>9</xdr:col>
      <xdr:colOff>1135380</xdr:colOff>
      <xdr:row>21</xdr:row>
      <xdr:rowOff>28575</xdr:rowOff>
    </xdr:to>
    <xdr:sp macro="[0]!imprimirMedicao" textlink="" fLocksText="0">
      <xdr:nvSpPr>
        <xdr:cNvPr id="13" name="Bot.ImprimirAcompanhamento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9620250" y="408622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9524</xdr:colOff>
      <xdr:row>2</xdr:row>
      <xdr:rowOff>0</xdr:rowOff>
    </xdr:from>
    <xdr:to>
      <xdr:col>11</xdr:col>
      <xdr:colOff>47625</xdr:colOff>
      <xdr:row>5</xdr:row>
      <xdr:rowOff>66675</xdr:rowOff>
    </xdr:to>
    <xdr:sp macro="[0]!Importar" textlink="" fLocksText="0">
      <xdr:nvSpPr>
        <xdr:cNvPr id="14" name="Bot.Importar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9629774" y="476250"/>
          <a:ext cx="1504951" cy="7715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IMPORTAR DE OUTRA PLANILHA MÚLTIPLA (A PARTIR DA VERSÃO 3)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47625</xdr:rowOff>
    </xdr:from>
    <xdr:to>
      <xdr:col>3</xdr:col>
      <xdr:colOff>161925</xdr:colOff>
      <xdr:row>1</xdr:row>
      <xdr:rowOff>152400</xdr:rowOff>
    </xdr:to>
    <xdr:sp macro="" textlink="" fLocksText="0">
      <xdr:nvSpPr>
        <xdr:cNvPr id="2050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02080000}"/>
            </a:ext>
          </a:extLst>
        </xdr:cNvPr>
        <xdr:cNvSpPr>
          <a:spLocks noChangeArrowheads="1"/>
        </xdr:cNvSpPr>
      </xdr:nvSpPr>
      <xdr:spPr bwMode="auto">
        <a:xfrm>
          <a:off x="200025" y="47625"/>
          <a:ext cx="17907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76200</xdr:rowOff>
    </xdr:from>
    <xdr:to>
      <xdr:col>1</xdr:col>
      <xdr:colOff>102923</xdr:colOff>
      <xdr:row>2</xdr:row>
      <xdr:rowOff>49540</xdr:rowOff>
    </xdr:to>
    <xdr:sp macro="" textlink="" fLocksText="0">
      <xdr:nvSpPr>
        <xdr:cNvPr id="3073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10C0000}"/>
            </a:ext>
          </a:extLst>
        </xdr:cNvPr>
        <xdr:cNvSpPr>
          <a:spLocks noChangeArrowheads="1"/>
        </xdr:cNvSpPr>
      </xdr:nvSpPr>
      <xdr:spPr bwMode="auto">
        <a:xfrm>
          <a:off x="104775" y="762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</xdr:colOff>
      <xdr:row>0</xdr:row>
      <xdr:rowOff>15240</xdr:rowOff>
    </xdr:from>
    <xdr:to>
      <xdr:col>11</xdr:col>
      <xdr:colOff>403860</xdr:colOff>
      <xdr:row>2</xdr:row>
      <xdr:rowOff>38100</xdr:rowOff>
    </xdr:to>
    <xdr:pic>
      <xdr:nvPicPr>
        <xdr:cNvPr id="4848" name="Logo1">
          <a:extLst>
            <a:ext uri="{FF2B5EF4-FFF2-40B4-BE49-F238E27FC236}">
              <a16:creationId xmlns:a16="http://schemas.microsoft.com/office/drawing/2014/main" xmlns="" id="{00000000-0008-0000-0300-0000F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13460" y="15240"/>
          <a:ext cx="1836420" cy="3886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287020</xdr:colOff>
      <xdr:row>1</xdr:row>
      <xdr:rowOff>30903</xdr:rowOff>
    </xdr:from>
    <xdr:to>
      <xdr:col>8</xdr:col>
      <xdr:colOff>138854</xdr:colOff>
      <xdr:row>3</xdr:row>
      <xdr:rowOff>8555</xdr:rowOff>
    </xdr:to>
    <xdr:sp macro="" textlink="" fLocksText="0">
      <xdr:nvSpPr>
        <xdr:cNvPr id="4098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300-000002100000}"/>
            </a:ext>
          </a:extLst>
        </xdr:cNvPr>
        <xdr:cNvSpPr>
          <a:spLocks noChangeArrowheads="1"/>
        </xdr:cNvSpPr>
      </xdr:nvSpPr>
      <xdr:spPr bwMode="auto">
        <a:xfrm>
          <a:off x="15096067" y="224366"/>
          <a:ext cx="571500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7</xdr:col>
      <xdr:colOff>287019</xdr:colOff>
      <xdr:row>3</xdr:row>
      <xdr:rowOff>57150</xdr:rowOff>
    </xdr:from>
    <xdr:to>
      <xdr:col>8</xdr:col>
      <xdr:colOff>138853</xdr:colOff>
      <xdr:row>5</xdr:row>
      <xdr:rowOff>42333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279399" y="5757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</xdr:colOff>
      <xdr:row>0</xdr:row>
      <xdr:rowOff>15240</xdr:rowOff>
    </xdr:from>
    <xdr:to>
      <xdr:col>15</xdr:col>
      <xdr:colOff>1036320</xdr:colOff>
      <xdr:row>1</xdr:row>
      <xdr:rowOff>167640</xdr:rowOff>
    </xdr:to>
    <xdr:pic>
      <xdr:nvPicPr>
        <xdr:cNvPr id="24130" name="Picture 2">
          <a:extLst>
            <a:ext uri="{FF2B5EF4-FFF2-40B4-BE49-F238E27FC236}">
              <a16:creationId xmlns:a16="http://schemas.microsoft.com/office/drawing/2014/main" xmlns="" id="{00000000-0008-0000-0400-0000425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01140" y="15240"/>
          <a:ext cx="1844040" cy="3733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</xdr:col>
      <xdr:colOff>9102</xdr:colOff>
      <xdr:row>8</xdr:row>
      <xdr:rowOff>152400</xdr:rowOff>
    </xdr:from>
    <xdr:to>
      <xdr:col>23</xdr:col>
      <xdr:colOff>1051560</xdr:colOff>
      <xdr:row>11</xdr:row>
      <xdr:rowOff>36243</xdr:rowOff>
    </xdr:to>
    <xdr:sp macro="" textlink="" fLocksText="0">
      <xdr:nvSpPr>
        <xdr:cNvPr id="5127" name="TextBoxArred">
          <a:extLst>
            <a:ext uri="{FF2B5EF4-FFF2-40B4-BE49-F238E27FC236}">
              <a16:creationId xmlns:a16="http://schemas.microsoft.com/office/drawing/2014/main" xmlns="" id="{00000000-0008-0000-0400-000007140000}"/>
            </a:ext>
          </a:extLst>
        </xdr:cNvPr>
        <xdr:cNvSpPr txBox="1">
          <a:spLocks noChangeArrowheads="1"/>
        </xdr:cNvSpPr>
      </xdr:nvSpPr>
      <xdr:spPr bwMode="auto">
        <a:xfrm flipH="1">
          <a:off x="15811500" y="1438275"/>
          <a:ext cx="4686300" cy="361950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xdr:twoCellAnchor>
    <xdr:from>
      <xdr:col>12</xdr:col>
      <xdr:colOff>302895</xdr:colOff>
      <xdr:row>0</xdr:row>
      <xdr:rowOff>144780</xdr:rowOff>
    </xdr:from>
    <xdr:to>
      <xdr:col>13</xdr:col>
      <xdr:colOff>285797</xdr:colOff>
      <xdr:row>2</xdr:row>
      <xdr:rowOff>38187</xdr:rowOff>
    </xdr:to>
    <xdr:sp macro="" textlink="" fLocksText="0">
      <xdr:nvSpPr>
        <xdr:cNvPr id="5133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400-00000D140000}"/>
            </a:ext>
          </a:extLst>
        </xdr:cNvPr>
        <xdr:cNvSpPr>
          <a:spLocks noChangeArrowheads="1"/>
        </xdr:cNvSpPr>
      </xdr:nvSpPr>
      <xdr:spPr bwMode="auto">
        <a:xfrm>
          <a:off x="6905625" y="1524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14</xdr:col>
      <xdr:colOff>28575</xdr:colOff>
      <xdr:row>9</xdr:row>
      <xdr:rowOff>0</xdr:rowOff>
    </xdr:from>
    <xdr:to>
      <xdr:col>15</xdr:col>
      <xdr:colOff>624896</xdr:colOff>
      <xdr:row>10</xdr:row>
      <xdr:rowOff>160060</xdr:rowOff>
    </xdr:to>
    <xdr:sp macro="[0]!Linhas.AddLinha" textlink="" fLocksText="0">
      <xdr:nvSpPr>
        <xdr:cNvPr id="5134" name="AutoShape 67">
          <a:extLst>
            <a:ext uri="{FF2B5EF4-FFF2-40B4-BE49-F238E27FC236}">
              <a16:creationId xmlns:a16="http://schemas.microsoft.com/office/drawing/2014/main" xmlns="" id="{00000000-0008-0000-0400-00000E140000}"/>
            </a:ext>
          </a:extLst>
        </xdr:cNvPr>
        <xdr:cNvSpPr>
          <a:spLocks noChangeArrowheads="1"/>
        </xdr:cNvSpPr>
      </xdr:nvSpPr>
      <xdr:spPr bwMode="auto">
        <a:xfrm>
          <a:off x="7800975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17</xdr:col>
      <xdr:colOff>93345</xdr:colOff>
      <xdr:row>9</xdr:row>
      <xdr:rowOff>0</xdr:rowOff>
    </xdr:from>
    <xdr:to>
      <xdr:col>17</xdr:col>
      <xdr:colOff>1560297</xdr:colOff>
      <xdr:row>10</xdr:row>
      <xdr:rowOff>160060</xdr:rowOff>
    </xdr:to>
    <xdr:sp macro="[0]!Descrição.fixar" textlink="" fLocksText="0">
      <xdr:nvSpPr>
        <xdr:cNvPr id="5135" name="AutoShape 67">
          <a:extLst>
            <a:ext uri="{FF2B5EF4-FFF2-40B4-BE49-F238E27FC236}">
              <a16:creationId xmlns:a16="http://schemas.microsoft.com/office/drawing/2014/main" xmlns="" id="{00000000-0008-0000-0400-00000F140000}"/>
            </a:ext>
          </a:extLst>
        </xdr:cNvPr>
        <xdr:cNvSpPr>
          <a:spLocks noChangeArrowheads="1"/>
        </xdr:cNvSpPr>
      </xdr:nvSpPr>
      <xdr:spPr bwMode="auto">
        <a:xfrm>
          <a:off x="108013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FIXAR DESCRIÇÕES</a:t>
          </a:r>
        </a:p>
      </xdr:txBody>
    </xdr:sp>
    <xdr:clientData fPrintsWithSheet="0"/>
  </xdr:twoCellAnchor>
  <xdr:twoCellAnchor>
    <xdr:from>
      <xdr:col>15</xdr:col>
      <xdr:colOff>691515</xdr:colOff>
      <xdr:row>9</xdr:row>
      <xdr:rowOff>0</xdr:rowOff>
    </xdr:from>
    <xdr:to>
      <xdr:col>17</xdr:col>
      <xdr:colOff>9547</xdr:colOff>
      <xdr:row>10</xdr:row>
      <xdr:rowOff>160060</xdr:rowOff>
    </xdr:to>
    <xdr:sp macro="[0]!Linhas.ExcLinhas" textlink="" fLocksText="0">
      <xdr:nvSpPr>
        <xdr:cNvPr id="5136" name="AutoShape 67">
          <a:extLst>
            <a:ext uri="{FF2B5EF4-FFF2-40B4-BE49-F238E27FC236}">
              <a16:creationId xmlns:a16="http://schemas.microsoft.com/office/drawing/2014/main" xmlns="" id="{00000000-0008-0000-0400-000010140000}"/>
            </a:ext>
          </a:extLst>
        </xdr:cNvPr>
        <xdr:cNvSpPr>
          <a:spLocks noChangeArrowheads="1"/>
        </xdr:cNvSpPr>
      </xdr:nvSpPr>
      <xdr:spPr bwMode="auto">
        <a:xfrm>
          <a:off x="929640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17</xdr:col>
      <xdr:colOff>1644015</xdr:colOff>
      <xdr:row>9</xdr:row>
      <xdr:rowOff>0</xdr:rowOff>
    </xdr:from>
    <xdr:to>
      <xdr:col>17</xdr:col>
      <xdr:colOff>3339378</xdr:colOff>
      <xdr:row>10</xdr:row>
      <xdr:rowOff>160060</xdr:rowOff>
    </xdr:to>
    <xdr:sp macro="[0]!Descrição.recuperar" textlink="" fLocksText="0">
      <xdr:nvSpPr>
        <xdr:cNvPr id="5137" name="AutoShape 67">
          <a:extLst>
            <a:ext uri="{FF2B5EF4-FFF2-40B4-BE49-F238E27FC236}">
              <a16:creationId xmlns:a16="http://schemas.microsoft.com/office/drawing/2014/main" xmlns="" id="{00000000-0008-0000-0400-000011140000}"/>
            </a:ext>
          </a:extLst>
        </xdr:cNvPr>
        <xdr:cNvSpPr>
          <a:spLocks noChangeArrowheads="1"/>
        </xdr:cNvSpPr>
      </xdr:nvSpPr>
      <xdr:spPr bwMode="auto">
        <a:xfrm>
          <a:off x="12306300" y="1447800"/>
          <a:ext cx="16573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RECUPERAR FÓRMULAS</a:t>
          </a:r>
        </a:p>
      </xdr:txBody>
    </xdr:sp>
    <xdr:clientData fPrintsWithSheet="0"/>
  </xdr:twoCellAnchor>
  <xdr:twoCellAnchor>
    <xdr:from>
      <xdr:col>17</xdr:col>
      <xdr:colOff>3404023</xdr:colOff>
      <xdr:row>9</xdr:row>
      <xdr:rowOff>1</xdr:rowOff>
    </xdr:from>
    <xdr:to>
      <xdr:col>18</xdr:col>
      <xdr:colOff>272154</xdr:colOff>
      <xdr:row>10</xdr:row>
      <xdr:rowOff>160061</xdr:rowOff>
    </xdr:to>
    <xdr:sp macro="[0]!buscarcodigo" textlink="" fLocksText="0">
      <xdr:nvSpPr>
        <xdr:cNvPr id="14" name="AutoShape 6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Arrowheads="1"/>
        </xdr:cNvSpPr>
      </xdr:nvSpPr>
      <xdr:spPr bwMode="auto">
        <a:xfrm>
          <a:off x="7662333" y="1428751"/>
          <a:ext cx="1333500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BUSCAR CÓDIGO</a:t>
          </a:r>
        </a:p>
      </xdr:txBody>
    </xdr:sp>
    <xdr:clientData fPrintsWithSheet="0"/>
  </xdr:twoCellAnchor>
  <xdr:twoCellAnchor>
    <xdr:from>
      <xdr:col>12</xdr:col>
      <xdr:colOff>303953</xdr:colOff>
      <xdr:row>2</xdr:row>
      <xdr:rowOff>84667</xdr:rowOff>
    </xdr:from>
    <xdr:to>
      <xdr:col>13</xdr:col>
      <xdr:colOff>285811</xdr:colOff>
      <xdr:row>4</xdr:row>
      <xdr:rowOff>69850</xdr:rowOff>
    </xdr:to>
    <xdr:sp macro="" textlink="" fLocksText="0">
      <xdr:nvSpPr>
        <xdr:cNvPr id="1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Arrowheads="1"/>
        </xdr:cNvSpPr>
      </xdr:nvSpPr>
      <xdr:spPr bwMode="auto">
        <a:xfrm>
          <a:off x="539750" y="508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  <xdr:twoCellAnchor>
    <xdr:from>
      <xdr:col>12</xdr:col>
      <xdr:colOff>308186</xdr:colOff>
      <xdr:row>4</xdr:row>
      <xdr:rowOff>120650</xdr:rowOff>
    </xdr:from>
    <xdr:to>
      <xdr:col>13</xdr:col>
      <xdr:colOff>289945</xdr:colOff>
      <xdr:row>7</xdr:row>
      <xdr:rowOff>52916</xdr:rowOff>
    </xdr:to>
    <xdr:sp macro="" textlink="" fLocksText="0">
      <xdr:nvSpPr>
        <xdr:cNvPr id="16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Arrowheads="1"/>
        </xdr:cNvSpPr>
      </xdr:nvSpPr>
      <xdr:spPr bwMode="auto">
        <a:xfrm>
          <a:off x="543983" y="86148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15240</xdr:rowOff>
    </xdr:from>
    <xdr:to>
      <xdr:col>5</xdr:col>
      <xdr:colOff>1036320</xdr:colOff>
      <xdr:row>2</xdr:row>
      <xdr:rowOff>7620</xdr:rowOff>
    </xdr:to>
    <xdr:pic>
      <xdr:nvPicPr>
        <xdr:cNvPr id="21100" name="Picture 2">
          <a:extLst>
            <a:ext uri="{FF2B5EF4-FFF2-40B4-BE49-F238E27FC236}">
              <a16:creationId xmlns:a16="http://schemas.microsoft.com/office/drawing/2014/main" xmlns="" id="{00000000-0008-0000-0500-00006C5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83920" y="15240"/>
          <a:ext cx="186690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152400</xdr:colOff>
      <xdr:row>1</xdr:row>
      <xdr:rowOff>9525</xdr:rowOff>
    </xdr:from>
    <xdr:to>
      <xdr:col>3</xdr:col>
      <xdr:colOff>474303</xdr:colOff>
      <xdr:row>2</xdr:row>
      <xdr:rowOff>123825</xdr:rowOff>
    </xdr:to>
    <xdr:sp macro="" textlink="" fLocksText="0">
      <xdr:nvSpPr>
        <xdr:cNvPr id="6147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500-000003180000}"/>
            </a:ext>
          </a:extLst>
        </xdr:cNvPr>
        <xdr:cNvSpPr>
          <a:spLocks noChangeArrowheads="1"/>
        </xdr:cNvSpPr>
      </xdr:nvSpPr>
      <xdr:spPr bwMode="auto">
        <a:xfrm>
          <a:off x="152400" y="209550"/>
          <a:ext cx="5619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5</xdr:col>
      <xdr:colOff>179070</xdr:colOff>
      <xdr:row>11</xdr:row>
      <xdr:rowOff>266700</xdr:rowOff>
    </xdr:from>
    <xdr:to>
      <xdr:col>5</xdr:col>
      <xdr:colOff>2905076</xdr:colOff>
      <xdr:row>11</xdr:row>
      <xdr:rowOff>571500</xdr:rowOff>
    </xdr:to>
    <xdr:sp macro="" textlink="" fLocksText="0">
      <xdr:nvSpPr>
        <xdr:cNvPr id="6148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500-000004180000}"/>
            </a:ext>
          </a:extLst>
        </xdr:cNvPr>
        <xdr:cNvSpPr>
          <a:spLocks noChangeArrowheads="1"/>
        </xdr:cNvSpPr>
      </xdr:nvSpPr>
      <xdr:spPr bwMode="auto">
        <a:xfrm>
          <a:off x="1847850" y="1304925"/>
          <a:ext cx="26574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REDEFINIR AGRUPADORES DE EVENTOS</a:t>
          </a:r>
        </a:p>
      </xdr:txBody>
    </xdr:sp>
    <xdr:clientData fPrintsWithSheet="0"/>
  </xdr:twoCellAnchor>
  <xdr:twoCellAnchor>
    <xdr:from>
      <xdr:col>5</xdr:col>
      <xdr:colOff>2977515</xdr:colOff>
      <xdr:row>11</xdr:row>
      <xdr:rowOff>266700</xdr:rowOff>
    </xdr:from>
    <xdr:to>
      <xdr:col>6</xdr:col>
      <xdr:colOff>26724</xdr:colOff>
      <xdr:row>11</xdr:row>
      <xdr:rowOff>571500</xdr:rowOff>
    </xdr:to>
    <xdr:sp macro="[0]!Colunas.incluirpag" textlink="" fLocksText="0">
      <xdr:nvSpPr>
        <xdr:cNvPr id="6149" name="AutoShape 67">
          <a:extLst>
            <a:ext uri="{FF2B5EF4-FFF2-40B4-BE49-F238E27FC236}">
              <a16:creationId xmlns:a16="http://schemas.microsoft.com/office/drawing/2014/main" xmlns="" id="{00000000-0008-0000-0500-000005180000}"/>
            </a:ext>
          </a:extLst>
        </xdr:cNvPr>
        <xdr:cNvSpPr>
          <a:spLocks noChangeArrowheads="1"/>
        </xdr:cNvSpPr>
      </xdr:nvSpPr>
      <xdr:spPr bwMode="auto">
        <a:xfrm>
          <a:off x="4562475" y="1304925"/>
          <a:ext cx="1514475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8 FRENTES</a:t>
          </a:r>
        </a:p>
      </xdr:txBody>
    </xdr:sp>
    <xdr:clientData fPrintsWithSheet="0"/>
  </xdr:twoCellAnchor>
  <xdr:twoCellAnchor>
    <xdr:from>
      <xdr:col>6</xdr:col>
      <xdr:colOff>93345</xdr:colOff>
      <xdr:row>11</xdr:row>
      <xdr:rowOff>266700</xdr:rowOff>
    </xdr:from>
    <xdr:to>
      <xdr:col>7</xdr:col>
      <xdr:colOff>908727</xdr:colOff>
      <xdr:row>11</xdr:row>
      <xdr:rowOff>581025</xdr:rowOff>
    </xdr:to>
    <xdr:sp macro="[0]!Colunas.excluirpag" textlink="" fLocksText="0">
      <xdr:nvSpPr>
        <xdr:cNvPr id="6150" name="AutoShape 67">
          <a:extLst>
            <a:ext uri="{FF2B5EF4-FFF2-40B4-BE49-F238E27FC236}">
              <a16:creationId xmlns:a16="http://schemas.microsoft.com/office/drawing/2014/main" xmlns="" id="{00000000-0008-0000-0500-000006180000}"/>
            </a:ext>
          </a:extLst>
        </xdr:cNvPr>
        <xdr:cNvSpPr>
          <a:spLocks noChangeArrowheads="1"/>
        </xdr:cNvSpPr>
      </xdr:nvSpPr>
      <xdr:spPr bwMode="auto">
        <a:xfrm>
          <a:off x="6143625" y="1304925"/>
          <a:ext cx="1514475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8 FRENTES</a:t>
          </a:r>
        </a:p>
      </xdr:txBody>
    </xdr:sp>
    <xdr:clientData fPrintsWithSheet="0"/>
  </xdr:twoCellAnchor>
  <xdr:twoCellAnchor>
    <xdr:from>
      <xdr:col>2</xdr:col>
      <xdr:colOff>137584</xdr:colOff>
      <xdr:row>3</xdr:row>
      <xdr:rowOff>13547</xdr:rowOff>
    </xdr:from>
    <xdr:to>
      <xdr:col>3</xdr:col>
      <xdr:colOff>473228</xdr:colOff>
      <xdr:row>4</xdr:row>
      <xdr:rowOff>159597</xdr:rowOff>
    </xdr:to>
    <xdr:sp macro="" textlink="" fLocksText="0">
      <xdr:nvSpPr>
        <xdr:cNvPr id="7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 noChangeArrowheads="1"/>
        </xdr:cNvSpPr>
      </xdr:nvSpPr>
      <xdr:spPr bwMode="auto">
        <a:xfrm>
          <a:off x="137584" y="571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2</xdr:col>
      <xdr:colOff>718248</xdr:colOff>
      <xdr:row>7</xdr:row>
      <xdr:rowOff>304800</xdr:rowOff>
    </xdr:to>
    <xdr:sp macro="" textlink="" fLocksText="0">
      <xdr:nvSpPr>
        <xdr:cNvPr id="7170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21C0000}"/>
            </a:ext>
          </a:extLst>
        </xdr:cNvPr>
        <xdr:cNvSpPr>
          <a:spLocks noChangeArrowheads="1"/>
        </xdr:cNvSpPr>
      </xdr:nvSpPr>
      <xdr:spPr bwMode="auto">
        <a:xfrm>
          <a:off x="609600" y="1009650"/>
          <a:ext cx="6953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VOLTAR</a:t>
          </a:r>
        </a:p>
      </xdr:txBody>
    </xdr:sp>
    <xdr:clientData fPrintsWithSheet="0"/>
  </xdr:twoCellAnchor>
  <xdr:twoCellAnchor>
    <xdr:from>
      <xdr:col>3</xdr:col>
      <xdr:colOff>548640</xdr:colOff>
      <xdr:row>7</xdr:row>
      <xdr:rowOff>0</xdr:rowOff>
    </xdr:from>
    <xdr:to>
      <xdr:col>3</xdr:col>
      <xdr:colOff>2007789</xdr:colOff>
      <xdr:row>7</xdr:row>
      <xdr:rowOff>304800</xdr:rowOff>
    </xdr:to>
    <xdr:sp macro="[0]!Linhas.AddLinha" textlink="" fLocksText="0">
      <xdr:nvSpPr>
        <xdr:cNvPr id="7171" name="AutoShape 67">
          <a:extLst>
            <a:ext uri="{FF2B5EF4-FFF2-40B4-BE49-F238E27FC236}">
              <a16:creationId xmlns:a16="http://schemas.microsoft.com/office/drawing/2014/main" xmlns="" id="{00000000-0008-0000-0600-0000031C0000}"/>
            </a:ext>
          </a:extLst>
        </xdr:cNvPr>
        <xdr:cNvSpPr>
          <a:spLocks noChangeArrowheads="1"/>
        </xdr:cNvSpPr>
      </xdr:nvSpPr>
      <xdr:spPr bwMode="auto">
        <a:xfrm>
          <a:off x="1990725" y="1009650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3</xdr:col>
      <xdr:colOff>2074545</xdr:colOff>
      <xdr:row>7</xdr:row>
      <xdr:rowOff>0</xdr:rowOff>
    </xdr:from>
    <xdr:to>
      <xdr:col>5</xdr:col>
      <xdr:colOff>822924</xdr:colOff>
      <xdr:row>7</xdr:row>
      <xdr:rowOff>304800</xdr:rowOff>
    </xdr:to>
    <xdr:sp macro="[0]!Linhas.ExcLinhas" textlink="" fLocksText="0">
      <xdr:nvSpPr>
        <xdr:cNvPr id="7172" name="AutoShape 67">
          <a:extLst>
            <a:ext uri="{FF2B5EF4-FFF2-40B4-BE49-F238E27FC236}">
              <a16:creationId xmlns:a16="http://schemas.microsoft.com/office/drawing/2014/main" xmlns="" id="{00000000-0008-0000-0600-0000041C0000}"/>
            </a:ext>
          </a:extLst>
        </xdr:cNvPr>
        <xdr:cNvSpPr>
          <a:spLocks noChangeArrowheads="1"/>
        </xdr:cNvSpPr>
      </xdr:nvSpPr>
      <xdr:spPr bwMode="auto">
        <a:xfrm>
          <a:off x="3486150" y="1009650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9</xdr:col>
      <xdr:colOff>365760</xdr:colOff>
      <xdr:row>4</xdr:row>
      <xdr:rowOff>167640</xdr:rowOff>
    </xdr:to>
    <xdr:pic>
      <xdr:nvPicPr>
        <xdr:cNvPr id="19188" name="Picture 2">
          <a:extLst>
            <a:ext uri="{FF2B5EF4-FFF2-40B4-BE49-F238E27FC236}">
              <a16:creationId xmlns:a16="http://schemas.microsoft.com/office/drawing/2014/main" xmlns="" id="{00000000-0008-0000-0700-0000F44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20140" y="0"/>
          <a:ext cx="1851660" cy="3581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142875</xdr:colOff>
      <xdr:row>3</xdr:row>
      <xdr:rowOff>85725</xdr:rowOff>
    </xdr:from>
    <xdr:to>
      <xdr:col>6</xdr:col>
      <xdr:colOff>729615</xdr:colOff>
      <xdr:row>4</xdr:row>
      <xdr:rowOff>190500</xdr:rowOff>
    </xdr:to>
    <xdr:sp macro="" textlink="" fLocksText="0">
      <xdr:nvSpPr>
        <xdr:cNvPr id="8195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700-000003200000}"/>
            </a:ext>
          </a:extLst>
        </xdr:cNvPr>
        <xdr:cNvSpPr>
          <a:spLocks noChangeArrowheads="1"/>
        </xdr:cNvSpPr>
      </xdr:nvSpPr>
      <xdr:spPr bwMode="auto">
        <a:xfrm>
          <a:off x="3181350" y="5715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20</xdr:col>
      <xdr:colOff>104776</xdr:colOff>
      <xdr:row>8</xdr:row>
      <xdr:rowOff>93345</xdr:rowOff>
    </xdr:from>
    <xdr:to>
      <xdr:col>23</xdr:col>
      <xdr:colOff>2956</xdr:colOff>
      <xdr:row>10</xdr:row>
      <xdr:rowOff>76147</xdr:rowOff>
    </xdr:to>
    <xdr:sp macro="" textlink="" fLocksText="0">
      <xdr:nvSpPr>
        <xdr:cNvPr id="8196" name="CRONO.b.preenchEventos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700-000004200000}"/>
            </a:ext>
          </a:extLst>
        </xdr:cNvPr>
        <xdr:cNvSpPr>
          <a:spLocks noChangeArrowheads="1"/>
        </xdr:cNvSpPr>
      </xdr:nvSpPr>
      <xdr:spPr bwMode="auto">
        <a:xfrm>
          <a:off x="11026776" y="1271058"/>
          <a:ext cx="2096558" cy="30797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PREENCHIMENTO POR EVENTOS</a:t>
          </a:r>
        </a:p>
      </xdr:txBody>
    </xdr:sp>
    <xdr:clientData fPrintsWithSheet="0"/>
  </xdr:twoCellAnchor>
  <xdr:twoCellAnchor>
    <xdr:from>
      <xdr:col>7</xdr:col>
      <xdr:colOff>102870</xdr:colOff>
      <xdr:row>8</xdr:row>
      <xdr:rowOff>93345</xdr:rowOff>
    </xdr:from>
    <xdr:to>
      <xdr:col>9</xdr:col>
      <xdr:colOff>76198</xdr:colOff>
      <xdr:row>10</xdr:row>
      <xdr:rowOff>76147</xdr:rowOff>
    </xdr:to>
    <xdr:sp macro="[0]!CRONO.AtualizarLinhas" textlink="" fLocksText="0">
      <xdr:nvSpPr>
        <xdr:cNvPr id="8197" name="AutoShape 67">
          <a:extLst>
            <a:ext uri="{FF2B5EF4-FFF2-40B4-BE49-F238E27FC236}">
              <a16:creationId xmlns:a16="http://schemas.microsoft.com/office/drawing/2014/main" xmlns="" id="{00000000-0008-0000-0700-000005200000}"/>
            </a:ext>
          </a:extLst>
        </xdr:cNvPr>
        <xdr:cNvSpPr>
          <a:spLocks noChangeArrowheads="1"/>
        </xdr:cNvSpPr>
      </xdr:nvSpPr>
      <xdr:spPr bwMode="auto">
        <a:xfrm>
          <a:off x="39814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 fPrintsWithSheet="0"/>
  </xdr:twoCellAnchor>
  <xdr:twoCellAnchor>
    <xdr:from>
      <xdr:col>23</xdr:col>
      <xdr:colOff>109008</xdr:colOff>
      <xdr:row>8</xdr:row>
      <xdr:rowOff>93345</xdr:rowOff>
    </xdr:from>
    <xdr:to>
      <xdr:col>25</xdr:col>
      <xdr:colOff>80433</xdr:colOff>
      <xdr:row>10</xdr:row>
      <xdr:rowOff>76147</xdr:rowOff>
    </xdr:to>
    <xdr:sp macro="[0]!incluirpag" textlink="" fLocksText="0">
      <xdr:nvSpPr>
        <xdr:cNvPr id="8198" name="AutoShape 67">
          <a:extLst>
            <a:ext uri="{FF2B5EF4-FFF2-40B4-BE49-F238E27FC236}">
              <a16:creationId xmlns:a16="http://schemas.microsoft.com/office/drawing/2014/main" xmlns="" id="{00000000-0008-0000-0700-000006200000}"/>
            </a:ext>
          </a:extLst>
        </xdr:cNvPr>
        <xdr:cNvSpPr>
          <a:spLocks noChangeArrowheads="1"/>
        </xdr:cNvSpPr>
      </xdr:nvSpPr>
      <xdr:spPr bwMode="auto">
        <a:xfrm>
          <a:off x="13221758" y="1271058"/>
          <a:ext cx="1431925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ADIC. 12 PARCELAS</a:t>
          </a:r>
        </a:p>
      </xdr:txBody>
    </xdr:sp>
    <xdr:clientData fPrintsWithSheet="0"/>
  </xdr:twoCellAnchor>
  <xdr:twoCellAnchor>
    <xdr:from>
      <xdr:col>25</xdr:col>
      <xdr:colOff>137583</xdr:colOff>
      <xdr:row>8</xdr:row>
      <xdr:rowOff>93345</xdr:rowOff>
    </xdr:from>
    <xdr:to>
      <xdr:col>27</xdr:col>
      <xdr:colOff>99483</xdr:colOff>
      <xdr:row>10</xdr:row>
      <xdr:rowOff>76147</xdr:rowOff>
    </xdr:to>
    <xdr:sp macro="[0]!excluirpag" textlink="" fLocksText="0">
      <xdr:nvSpPr>
        <xdr:cNvPr id="8199" name="AutoShape 67">
          <a:extLst>
            <a:ext uri="{FF2B5EF4-FFF2-40B4-BE49-F238E27FC236}">
              <a16:creationId xmlns:a16="http://schemas.microsoft.com/office/drawing/2014/main" xmlns="" id="{00000000-0008-0000-0700-000007200000}"/>
            </a:ext>
          </a:extLst>
        </xdr:cNvPr>
        <xdr:cNvSpPr>
          <a:spLocks noChangeArrowheads="1"/>
        </xdr:cNvSpPr>
      </xdr:nvSpPr>
      <xdr:spPr bwMode="auto">
        <a:xfrm>
          <a:off x="14710833" y="1271058"/>
          <a:ext cx="14224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EXC. 12 PARCELAS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272415</xdr:colOff>
      <xdr:row>10</xdr:row>
      <xdr:rowOff>228600</xdr:rowOff>
    </xdr:from>
    <xdr:to>
      <xdr:col>2</xdr:col>
      <xdr:colOff>417249</xdr:colOff>
      <xdr:row>10</xdr:row>
      <xdr:rowOff>542925</xdr:rowOff>
    </xdr:to>
    <xdr:sp macro="" textlink="" fLocksText="0">
      <xdr:nvSpPr>
        <xdr:cNvPr id="9218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800-000002240000}"/>
            </a:ext>
          </a:extLst>
        </xdr:cNvPr>
        <xdr:cNvSpPr>
          <a:spLocks noChangeArrowheads="1"/>
        </xdr:cNvSpPr>
      </xdr:nvSpPr>
      <xdr:spPr bwMode="auto">
        <a:xfrm>
          <a:off x="514350" y="1428750"/>
          <a:ext cx="69532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VOLTAR</a:t>
          </a:r>
        </a:p>
      </xdr:txBody>
    </xdr:sp>
    <xdr:clientData/>
  </xdr:twoCellAnchor>
  <xdr:twoCellAnchor>
    <xdr:from>
      <xdr:col>2</xdr:col>
      <xdr:colOff>613410</xdr:colOff>
      <xdr:row>10</xdr:row>
      <xdr:rowOff>238125</xdr:rowOff>
    </xdr:from>
    <xdr:to>
      <xdr:col>2</xdr:col>
      <xdr:colOff>2080159</xdr:colOff>
      <xdr:row>10</xdr:row>
      <xdr:rowOff>542925</xdr:rowOff>
    </xdr:to>
    <xdr:sp macro="[0]!CRONO.AtualizarLinhas" textlink="" fLocksText="0">
      <xdr:nvSpPr>
        <xdr:cNvPr id="9219" name="AutoShape 67">
          <a:extLst>
            <a:ext uri="{FF2B5EF4-FFF2-40B4-BE49-F238E27FC236}">
              <a16:creationId xmlns:a16="http://schemas.microsoft.com/office/drawing/2014/main" xmlns="" id="{00000000-0008-0000-0800-000003240000}"/>
            </a:ext>
          </a:extLst>
        </xdr:cNvPr>
        <xdr:cNvSpPr>
          <a:spLocks noChangeArrowheads="1"/>
        </xdr:cNvSpPr>
      </xdr:nvSpPr>
      <xdr:spPr bwMode="auto">
        <a:xfrm>
          <a:off x="1390650" y="1438275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137160</xdr:colOff>
      <xdr:row>3</xdr:row>
      <xdr:rowOff>182880</xdr:rowOff>
    </xdr:to>
    <xdr:pic>
      <xdr:nvPicPr>
        <xdr:cNvPr id="11144" name="Picture 2">
          <a:extLst>
            <a:ext uri="{FF2B5EF4-FFF2-40B4-BE49-F238E27FC236}">
              <a16:creationId xmlns:a16="http://schemas.microsoft.com/office/drawing/2014/main" xmlns="" id="{00000000-0008-0000-0900-0000882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" y="0"/>
          <a:ext cx="185928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0</xdr:colOff>
      <xdr:row>7</xdr:row>
      <xdr:rowOff>147108</xdr:rowOff>
    </xdr:from>
    <xdr:to>
      <xdr:col>2</xdr:col>
      <xdr:colOff>28575</xdr:colOff>
      <xdr:row>9</xdr:row>
      <xdr:rowOff>109185</xdr:rowOff>
    </xdr:to>
    <xdr:sp macro="" textlink="" fLocksText="0">
      <xdr:nvSpPr>
        <xdr:cNvPr id="10243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900-000003280000}"/>
            </a:ext>
          </a:extLst>
        </xdr:cNvPr>
        <xdr:cNvSpPr>
          <a:spLocks noChangeArrowheads="1"/>
        </xdr:cNvSpPr>
      </xdr:nvSpPr>
      <xdr:spPr bwMode="auto">
        <a:xfrm>
          <a:off x="254000" y="1025525"/>
          <a:ext cx="56832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1</xdr:col>
      <xdr:colOff>0</xdr:colOff>
      <xdr:row>10</xdr:row>
      <xdr:rowOff>0</xdr:rowOff>
    </xdr:from>
    <xdr:to>
      <xdr:col>2</xdr:col>
      <xdr:colOff>31751</xdr:colOff>
      <xdr:row>10</xdr:row>
      <xdr:rowOff>302683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>
          <a:spLocks noChangeArrowheads="1"/>
        </xdr:cNvSpPr>
      </xdr:nvSpPr>
      <xdr:spPr bwMode="auto">
        <a:xfrm>
          <a:off x="254000" y="1397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twoCellAnchor>
    <xdr:from>
      <xdr:col>1</xdr:col>
      <xdr:colOff>0</xdr:colOff>
      <xdr:row>10</xdr:row>
      <xdr:rowOff>367453</xdr:rowOff>
    </xdr:from>
    <xdr:to>
      <xdr:col>2</xdr:col>
      <xdr:colOff>31751</xdr:colOff>
      <xdr:row>10</xdr:row>
      <xdr:rowOff>670136</xdr:rowOff>
    </xdr:to>
    <xdr:sp macro="" textlink="" fLocksText="0">
      <xdr:nvSpPr>
        <xdr:cNvPr id="6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>
          <a:spLocks noChangeArrowheads="1"/>
        </xdr:cNvSpPr>
      </xdr:nvSpPr>
      <xdr:spPr bwMode="auto">
        <a:xfrm>
          <a:off x="254000" y="17568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0</xdr:row>
      <xdr:rowOff>0</xdr:rowOff>
    </xdr:from>
    <xdr:to>
      <xdr:col>5</xdr:col>
      <xdr:colOff>114300</xdr:colOff>
      <xdr:row>0</xdr:row>
      <xdr:rowOff>381000</xdr:rowOff>
    </xdr:to>
    <xdr:pic>
      <xdr:nvPicPr>
        <xdr:cNvPr id="23044" name="Picture 2">
          <a:extLst>
            <a:ext uri="{FF2B5EF4-FFF2-40B4-BE49-F238E27FC236}">
              <a16:creationId xmlns:a16="http://schemas.microsoft.com/office/drawing/2014/main" xmlns="" id="{00000000-0008-0000-0A00-0000045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9080" y="0"/>
          <a:ext cx="184404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116417</xdr:colOff>
      <xdr:row>7</xdr:row>
      <xdr:rowOff>140970</xdr:rowOff>
    </xdr:from>
    <xdr:to>
      <xdr:col>15</xdr:col>
      <xdr:colOff>2988</xdr:colOff>
      <xdr:row>10</xdr:row>
      <xdr:rowOff>148236</xdr:rowOff>
    </xdr:to>
    <xdr:sp macro="" textlink="" fLocksText="0">
      <xdr:nvSpPr>
        <xdr:cNvPr id="11268" name="AutoShape 317">
          <a:extLst>
            <a:ext uri="{FF2B5EF4-FFF2-40B4-BE49-F238E27FC236}">
              <a16:creationId xmlns:a16="http://schemas.microsoft.com/office/drawing/2014/main" xmlns="" id="{00000000-0008-0000-0A00-0000042C0000}"/>
            </a:ext>
          </a:extLst>
        </xdr:cNvPr>
        <xdr:cNvSpPr>
          <a:spLocks noChangeArrowheads="1"/>
        </xdr:cNvSpPr>
      </xdr:nvSpPr>
      <xdr:spPr bwMode="auto">
        <a:xfrm>
          <a:off x="12096750" y="1361017"/>
          <a:ext cx="2116667" cy="491066"/>
        </a:xfrm>
        <a:prstGeom prst="wedgeRectCallout">
          <a:avLst>
            <a:gd name="adj1" fmla="val 121111"/>
            <a:gd name="adj2" fmla="val 52440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inclusão de metas de outras Plan. Mult., digite a descrição e valores manualmente ao lado.</a:t>
          </a:r>
        </a:p>
      </xdr:txBody>
    </xdr:sp>
    <xdr:clientData fPrintsWithSheet="0"/>
  </xdr:twoCellAnchor>
  <xdr:twoCellAnchor>
    <xdr:from>
      <xdr:col>3</xdr:col>
      <xdr:colOff>66675</xdr:colOff>
      <xdr:row>8</xdr:row>
      <xdr:rowOff>9525</xdr:rowOff>
    </xdr:from>
    <xdr:to>
      <xdr:col>4</xdr:col>
      <xdr:colOff>198145</xdr:colOff>
      <xdr:row>10</xdr:row>
      <xdr:rowOff>1059</xdr:rowOff>
    </xdr:to>
    <xdr:sp macro="" textlink="" fLocksText="0">
      <xdr:nvSpPr>
        <xdr:cNvPr id="11269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A00-0000052C0000}"/>
            </a:ext>
          </a:extLst>
        </xdr:cNvPr>
        <xdr:cNvSpPr>
          <a:spLocks noChangeArrowheads="1"/>
        </xdr:cNvSpPr>
      </xdr:nvSpPr>
      <xdr:spPr bwMode="auto">
        <a:xfrm>
          <a:off x="2066925" y="1419225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4</xdr:col>
      <xdr:colOff>369570</xdr:colOff>
      <xdr:row>8</xdr:row>
      <xdr:rowOff>11430</xdr:rowOff>
    </xdr:from>
    <xdr:to>
      <xdr:col>5</xdr:col>
      <xdr:colOff>558186</xdr:colOff>
      <xdr:row>10</xdr:row>
      <xdr:rowOff>9710</xdr:rowOff>
    </xdr:to>
    <xdr:sp macro="[0]!Linhas.AddLinha" textlink="" fLocksText="0">
      <xdr:nvSpPr>
        <xdr:cNvPr id="11270" name="AutoShape 67">
          <a:extLst>
            <a:ext uri="{FF2B5EF4-FFF2-40B4-BE49-F238E27FC236}">
              <a16:creationId xmlns:a16="http://schemas.microsoft.com/office/drawing/2014/main" xmlns="" id="{00000000-0008-0000-0A00-0000062C0000}"/>
            </a:ext>
          </a:extLst>
        </xdr:cNvPr>
        <xdr:cNvSpPr>
          <a:spLocks noChangeArrowheads="1"/>
        </xdr:cNvSpPr>
      </xdr:nvSpPr>
      <xdr:spPr bwMode="auto">
        <a:xfrm>
          <a:off x="2809875" y="142875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5</xdr:col>
      <xdr:colOff>691515</xdr:colOff>
      <xdr:row>8</xdr:row>
      <xdr:rowOff>9525</xdr:rowOff>
    </xdr:from>
    <xdr:to>
      <xdr:col>6</xdr:col>
      <xdr:colOff>198119</xdr:colOff>
      <xdr:row>10</xdr:row>
      <xdr:rowOff>1059</xdr:rowOff>
    </xdr:to>
    <xdr:sp macro="[0]!Linhas.ExcLinhas" textlink="" fLocksText="0">
      <xdr:nvSpPr>
        <xdr:cNvPr id="11271" name="AutoShape 67">
          <a:extLst>
            <a:ext uri="{FF2B5EF4-FFF2-40B4-BE49-F238E27FC236}">
              <a16:creationId xmlns:a16="http://schemas.microsoft.com/office/drawing/2014/main" xmlns="" id="{00000000-0008-0000-0A00-0000072C0000}"/>
            </a:ext>
          </a:extLst>
        </xdr:cNvPr>
        <xdr:cNvSpPr>
          <a:spLocks noChangeArrowheads="1"/>
        </xdr:cNvSpPr>
      </xdr:nvSpPr>
      <xdr:spPr bwMode="auto">
        <a:xfrm>
          <a:off x="4371975" y="1419225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7</xdr:col>
      <xdr:colOff>766657</xdr:colOff>
      <xdr:row>8</xdr:row>
      <xdr:rowOff>10583</xdr:rowOff>
    </xdr:from>
    <xdr:to>
      <xdr:col>9</xdr:col>
      <xdr:colOff>463768</xdr:colOff>
      <xdr:row>10</xdr:row>
      <xdr:rowOff>4233</xdr:rowOff>
    </xdr:to>
    <xdr:sp macro="[0]!cpQCItoCR" textlink="" fLocksText="0">
      <xdr:nvSpPr>
        <xdr:cNvPr id="7" name="AutoShape 67">
          <a:extLst>
            <a:ext uri="{FF2B5EF4-FFF2-40B4-BE49-F238E27FC236}">
              <a16:creationId xmlns:a16="http://schemas.microsoft.com/office/drawing/2014/main" xmlns="" id="{00000000-0008-0000-0A00-000007000000}"/>
            </a:ext>
          </a:extLst>
        </xdr:cNvPr>
        <xdr:cNvSpPr>
          <a:spLocks noChangeArrowheads="1"/>
        </xdr:cNvSpPr>
      </xdr:nvSpPr>
      <xdr:spPr bwMode="auto">
        <a:xfrm>
          <a:off x="6985000" y="1397000"/>
          <a:ext cx="1599141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CP QCI = CP CONTRATO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1276350</xdr:colOff>
      <xdr:row>8</xdr:row>
      <xdr:rowOff>57150</xdr:rowOff>
    </xdr:from>
    <xdr:to>
      <xdr:col>12</xdr:col>
      <xdr:colOff>445815</xdr:colOff>
      <xdr:row>10</xdr:row>
      <xdr:rowOff>85725</xdr:rowOff>
    </xdr:to>
    <xdr:sp macro="" textlink="" fLocksText="0">
      <xdr:nvSpPr>
        <xdr:cNvPr id="12293" name="TextBoxArred">
          <a:extLst>
            <a:ext uri="{FF2B5EF4-FFF2-40B4-BE49-F238E27FC236}">
              <a16:creationId xmlns:a16="http://schemas.microsoft.com/office/drawing/2014/main" xmlns="" id="{00000000-0008-0000-0B00-000005300000}"/>
            </a:ext>
          </a:extLst>
        </xdr:cNvPr>
        <xdr:cNvSpPr txBox="1">
          <a:spLocks noChangeArrowheads="1"/>
        </xdr:cNvSpPr>
      </xdr:nvSpPr>
      <xdr:spPr bwMode="auto">
        <a:xfrm flipH="1">
          <a:off x="12411075" y="1314450"/>
          <a:ext cx="2790825" cy="352425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xdr:twoCellAnchor>
    <xdr:from>
      <xdr:col>3</xdr:col>
      <xdr:colOff>95250</xdr:colOff>
      <xdr:row>8</xdr:row>
      <xdr:rowOff>114300</xdr:rowOff>
    </xdr:from>
    <xdr:to>
      <xdr:col>3</xdr:col>
      <xdr:colOff>681990</xdr:colOff>
      <xdr:row>10</xdr:row>
      <xdr:rowOff>104775</xdr:rowOff>
    </xdr:to>
    <xdr:sp macro="" textlink="" fLocksText="0">
      <xdr:nvSpPr>
        <xdr:cNvPr id="12294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B00-000006300000}"/>
            </a:ext>
          </a:extLst>
        </xdr:cNvPr>
        <xdr:cNvSpPr>
          <a:spLocks noChangeArrowheads="1"/>
        </xdr:cNvSpPr>
      </xdr:nvSpPr>
      <xdr:spPr bwMode="auto">
        <a:xfrm>
          <a:off x="3895725" y="13716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3</xdr:col>
      <xdr:colOff>22860</xdr:colOff>
      <xdr:row>0</xdr:row>
      <xdr:rowOff>15240</xdr:rowOff>
    </xdr:from>
    <xdr:to>
      <xdr:col>4</xdr:col>
      <xdr:colOff>1135380</xdr:colOff>
      <xdr:row>2</xdr:row>
      <xdr:rowOff>22860</xdr:rowOff>
    </xdr:to>
    <xdr:pic>
      <xdr:nvPicPr>
        <xdr:cNvPr id="22083" name="Picture 2">
          <a:extLst>
            <a:ext uri="{FF2B5EF4-FFF2-40B4-BE49-F238E27FC236}">
              <a16:creationId xmlns:a16="http://schemas.microsoft.com/office/drawing/2014/main" xmlns="" id="{00000000-0008-0000-0B00-0000435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4320" y="15240"/>
          <a:ext cx="1844040" cy="3962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794385</xdr:colOff>
      <xdr:row>8</xdr:row>
      <xdr:rowOff>112395</xdr:rowOff>
    </xdr:from>
    <xdr:to>
      <xdr:col>4</xdr:col>
      <xdr:colOff>2676525</xdr:colOff>
      <xdr:row>10</xdr:row>
      <xdr:rowOff>95412</xdr:rowOff>
    </xdr:to>
    <xdr:sp macro="[0]!BM.alternaModo" textlink="" fLocksText="0">
      <xdr:nvSpPr>
        <xdr:cNvPr id="12298" name="ShapeModoBM">
          <a:extLst>
            <a:ext uri="{FF2B5EF4-FFF2-40B4-BE49-F238E27FC236}">
              <a16:creationId xmlns:a16="http://schemas.microsoft.com/office/drawing/2014/main" xmlns="" id="{00000000-0008-0000-0B00-00000A300000}"/>
            </a:ext>
          </a:extLst>
        </xdr:cNvPr>
        <xdr:cNvSpPr>
          <a:spLocks noChangeArrowheads="1"/>
        </xdr:cNvSpPr>
      </xdr:nvSpPr>
      <xdr:spPr bwMode="auto">
        <a:xfrm>
          <a:off x="1734608" y="1343025"/>
          <a:ext cx="18288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Habilitar Modo CAIXA</a:t>
          </a:r>
        </a:p>
      </xdr:txBody>
    </xdr:sp>
    <xdr:clientData fPrintsWithSheet="0"/>
  </xdr:twoCellAnchor>
  <xdr:twoCellAnchor>
    <xdr:from>
      <xdr:col>16</xdr:col>
      <xdr:colOff>0</xdr:colOff>
      <xdr:row>6</xdr:row>
      <xdr:rowOff>42333</xdr:rowOff>
    </xdr:from>
    <xdr:to>
      <xdr:col>16</xdr:col>
      <xdr:colOff>0</xdr:colOff>
      <xdr:row>9</xdr:row>
      <xdr:rowOff>102792</xdr:rowOff>
    </xdr:to>
    <xdr:sp macro="[0]!CopiarMedição" textlink="" fLocksText="0">
      <xdr:nvSpPr>
        <xdr:cNvPr id="8" name="ShapeCopiarMed">
          <a:extLst>
            <a:ext uri="{FF2B5EF4-FFF2-40B4-BE49-F238E27FC236}">
              <a16:creationId xmlns:a16="http://schemas.microsoft.com/office/drawing/2014/main" xmlns="" id="{00000000-0008-0000-0B00-000008000000}"/>
            </a:ext>
          </a:extLst>
        </xdr:cNvPr>
        <xdr:cNvSpPr>
          <a:spLocks noChangeArrowheads="1"/>
        </xdr:cNvSpPr>
      </xdr:nvSpPr>
      <xdr:spPr bwMode="auto">
        <a:xfrm>
          <a:off x="17187333" y="963083"/>
          <a:ext cx="709083" cy="529167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Copiar da Medição</a:t>
          </a:r>
        </a:p>
      </xdr:txBody>
    </xdr:sp>
    <xdr:clientData/>
  </xdr:twoCellAnchor>
  <xdr:twoCellAnchor>
    <xdr:from>
      <xdr:col>4</xdr:col>
      <xdr:colOff>63500</xdr:colOff>
      <xdr:row>8</xdr:row>
      <xdr:rowOff>116417</xdr:rowOff>
    </xdr:from>
    <xdr:to>
      <xdr:col>4</xdr:col>
      <xdr:colOff>650241</xdr:colOff>
      <xdr:row>10</xdr:row>
      <xdr:rowOff>101600</xdr:rowOff>
    </xdr:to>
    <xdr:sp macro="" textlink="" fLocksText="0">
      <xdr:nvSpPr>
        <xdr:cNvPr id="9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B00-000009000000}"/>
            </a:ext>
          </a:extLst>
        </xdr:cNvPr>
        <xdr:cNvSpPr>
          <a:spLocks noChangeArrowheads="1"/>
        </xdr:cNvSpPr>
      </xdr:nvSpPr>
      <xdr:spPr bwMode="auto">
        <a:xfrm>
          <a:off x="1026583" y="1354667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5</xdr:col>
      <xdr:colOff>1386840</xdr:colOff>
      <xdr:row>0</xdr:row>
      <xdr:rowOff>381000</xdr:rowOff>
    </xdr:to>
    <xdr:pic>
      <xdr:nvPicPr>
        <xdr:cNvPr id="24595" name="Picture 2">
          <a:extLst>
            <a:ext uri="{FF2B5EF4-FFF2-40B4-BE49-F238E27FC236}">
              <a16:creationId xmlns:a16="http://schemas.microsoft.com/office/drawing/2014/main" xmlns="" id="{00000000-0008-0000-0C00-0000136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1460" y="0"/>
          <a:ext cx="191262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</xdr:col>
      <xdr:colOff>102870</xdr:colOff>
      <xdr:row>7</xdr:row>
      <xdr:rowOff>160020</xdr:rowOff>
    </xdr:from>
    <xdr:to>
      <xdr:col>24</xdr:col>
      <xdr:colOff>169545</xdr:colOff>
      <xdr:row>10</xdr:row>
      <xdr:rowOff>49546</xdr:rowOff>
    </xdr:to>
    <xdr:sp macro="" textlink="" fLocksText="0">
      <xdr:nvSpPr>
        <xdr:cNvPr id="13317" name="AutoShape 317">
          <a:extLst>
            <a:ext uri="{FF2B5EF4-FFF2-40B4-BE49-F238E27FC236}">
              <a16:creationId xmlns:a16="http://schemas.microsoft.com/office/drawing/2014/main" xmlns="" id="{00000000-0008-0000-0C00-000005340000}"/>
            </a:ext>
          </a:extLst>
        </xdr:cNvPr>
        <xdr:cNvSpPr>
          <a:spLocks noChangeArrowheads="1"/>
        </xdr:cNvSpPr>
      </xdr:nvSpPr>
      <xdr:spPr bwMode="auto">
        <a:xfrm>
          <a:off x="10487025" y="1562100"/>
          <a:ext cx="2724150" cy="390525"/>
        </a:xfrm>
        <a:prstGeom prst="wedgeRectCallout">
          <a:avLst>
            <a:gd name="adj1" fmla="val 72181"/>
            <a:gd name="adj2" fmla="val 58333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Metas preenchidas manualmente, digite o valor medido nas colunas à direita.</a:t>
          </a:r>
        </a:p>
      </xdr:txBody>
    </xdr:sp>
    <xdr:clientData fPrintsWithSheet="0"/>
  </xdr:twoCellAnchor>
  <xdr:twoCellAnchor>
    <xdr:from>
      <xdr:col>4</xdr:col>
      <xdr:colOff>85725</xdr:colOff>
      <xdr:row>8</xdr:row>
      <xdr:rowOff>28575</xdr:rowOff>
    </xdr:from>
    <xdr:to>
      <xdr:col>5</xdr:col>
      <xdr:colOff>142875</xdr:colOff>
      <xdr:row>10</xdr:row>
      <xdr:rowOff>11435</xdr:rowOff>
    </xdr:to>
    <xdr:sp macro="" textlink="" fLocksText="0">
      <xdr:nvSpPr>
        <xdr:cNvPr id="13318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C00-000006340000}"/>
            </a:ext>
          </a:extLst>
        </xdr:cNvPr>
        <xdr:cNvSpPr>
          <a:spLocks noChangeArrowheads="1"/>
        </xdr:cNvSpPr>
      </xdr:nvSpPr>
      <xdr:spPr bwMode="auto">
        <a:xfrm>
          <a:off x="333375" y="16002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5</xdr:col>
      <xdr:colOff>240453</xdr:colOff>
      <xdr:row>8</xdr:row>
      <xdr:rowOff>31750</xdr:rowOff>
    </xdr:from>
    <xdr:to>
      <xdr:col>5</xdr:col>
      <xdr:colOff>827194</xdr:colOff>
      <xdr:row>10</xdr:row>
      <xdr:rowOff>9447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SpPr>
          <a:spLocks noChangeArrowheads="1"/>
        </xdr:cNvSpPr>
      </xdr:nvSpPr>
      <xdr:spPr bwMode="auto">
        <a:xfrm>
          <a:off x="994833" y="1587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459529</xdr:colOff>
      <xdr:row>1</xdr:row>
      <xdr:rowOff>64559</xdr:rowOff>
    </xdr:from>
    <xdr:to>
      <xdr:col>5</xdr:col>
      <xdr:colOff>486201</xdr:colOff>
      <xdr:row>2</xdr:row>
      <xdr:rowOff>208209</xdr:rowOff>
    </xdr:to>
    <xdr:sp macro="[0]!Plan12.InsereFigura" textlink="" fLocksText="0">
      <xdr:nvSpPr>
        <xdr:cNvPr id="14337" name="ShapeBrasao">
          <a:extLst>
            <a:ext uri="{FF2B5EF4-FFF2-40B4-BE49-F238E27FC236}">
              <a16:creationId xmlns:a16="http://schemas.microsoft.com/office/drawing/2014/main" xmlns="" id="{00000000-0008-0000-0D00-000001380000}"/>
            </a:ext>
          </a:extLst>
        </xdr:cNvPr>
        <xdr:cNvSpPr>
          <a:spLocks noChangeArrowheads="1"/>
        </xdr:cNvSpPr>
      </xdr:nvSpPr>
      <xdr:spPr bwMode="auto">
        <a:xfrm>
          <a:off x="3468159" y="223309"/>
          <a:ext cx="1405467" cy="3024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INSERIR BRASÃO</a:t>
          </a:r>
        </a:p>
      </xdr:txBody>
    </xdr:sp>
    <xdr:clientData fPrintsWithSheet="0"/>
  </xdr:twoCellAnchor>
  <xdr:twoCellAnchor>
    <xdr:from>
      <xdr:col>3</xdr:col>
      <xdr:colOff>596265</xdr:colOff>
      <xdr:row>1</xdr:row>
      <xdr:rowOff>66675</xdr:rowOff>
    </xdr:from>
    <xdr:to>
      <xdr:col>3</xdr:col>
      <xdr:colOff>1183005</xdr:colOff>
      <xdr:row>2</xdr:row>
      <xdr:rowOff>210325</xdr:rowOff>
    </xdr:to>
    <xdr:sp macro="" textlink="" fLocksText="0">
      <xdr:nvSpPr>
        <xdr:cNvPr id="14338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D00-000002380000}"/>
            </a:ext>
          </a:extLst>
        </xdr:cNvPr>
        <xdr:cNvSpPr>
          <a:spLocks noChangeArrowheads="1"/>
        </xdr:cNvSpPr>
      </xdr:nvSpPr>
      <xdr:spPr bwMode="auto">
        <a:xfrm>
          <a:off x="2210858" y="225425"/>
          <a:ext cx="571500" cy="3024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3</xdr:col>
      <xdr:colOff>1236981</xdr:colOff>
      <xdr:row>1</xdr:row>
      <xdr:rowOff>63499</xdr:rowOff>
    </xdr:from>
    <xdr:to>
      <xdr:col>4</xdr:col>
      <xdr:colOff>399026</xdr:colOff>
      <xdr:row>2</xdr:row>
      <xdr:rowOff>207432</xdr:rowOff>
    </xdr:to>
    <xdr:sp macro="" textlink="" fLocksText="0">
      <xdr:nvSpPr>
        <xdr:cNvPr id="4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SpPr>
          <a:spLocks noChangeArrowheads="1"/>
        </xdr:cNvSpPr>
      </xdr:nvSpPr>
      <xdr:spPr bwMode="auto">
        <a:xfrm>
          <a:off x="2836334" y="222249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15"/>
  <dimension ref="A1:O25"/>
  <sheetViews>
    <sheetView showGridLines="0" zoomScaleSheetLayoutView="85" workbookViewId="0">
      <selection activeCell="F31" sqref="F31"/>
    </sheetView>
  </sheetViews>
  <sheetFormatPr defaultRowHeight="12.75"/>
  <cols>
    <col min="1" max="1" width="2.85546875" style="172" customWidth="1"/>
    <col min="2" max="2" width="5.7109375" style="172" customWidth="1"/>
    <col min="3" max="3" width="38.5703125" style="172" customWidth="1"/>
    <col min="4" max="4" width="5.7109375" style="172" customWidth="1"/>
    <col min="5" max="5" width="38.5703125" style="172" customWidth="1"/>
    <col min="6" max="6" width="5.7109375" style="172" customWidth="1"/>
    <col min="7" max="7" width="38.5703125" style="172" customWidth="1"/>
    <col min="8" max="8" width="5.7109375" style="172" customWidth="1"/>
    <col min="9" max="9" width="2.85546875" style="172" customWidth="1"/>
    <col min="10" max="10" width="19" customWidth="1"/>
    <col min="11" max="11" width="3" customWidth="1"/>
    <col min="13" max="13" width="1.5703125" customWidth="1"/>
    <col min="14" max="14" width="38.85546875" customWidth="1"/>
  </cols>
  <sheetData>
    <row r="1" spans="1:15" ht="15" customHeight="1">
      <c r="A1" s="524"/>
      <c r="B1" s="524"/>
      <c r="C1" s="524"/>
      <c r="D1" s="524"/>
      <c r="E1" s="524"/>
      <c r="F1" s="524"/>
      <c r="G1" s="524"/>
      <c r="H1" s="524"/>
      <c r="I1" s="524"/>
      <c r="J1" t="s">
        <v>0</v>
      </c>
    </row>
    <row r="2" spans="1:15" ht="22.5" customHeight="1">
      <c r="A2" s="524"/>
      <c r="B2" s="526"/>
      <c r="C2" s="526"/>
      <c r="D2" s="526"/>
      <c r="E2" s="673" t="str">
        <f>CHOOSE(MATCH(Objeto,{"PM","PO"}),"PLANILHA MÚLTIPLA ","PLANILHA ORÇAMENTÁRIA ")&amp; Versao</f>
        <v>PLANILHA MÚLTIPLA v3.0.6</v>
      </c>
      <c r="F2" s="673"/>
      <c r="G2" s="673"/>
      <c r="H2" s="528"/>
      <c r="I2" s="526"/>
      <c r="J2" t="s">
        <v>438</v>
      </c>
    </row>
    <row r="3" spans="1:15" ht="22.5" customHeight="1">
      <c r="A3" s="524"/>
      <c r="B3" s="526"/>
      <c r="C3" s="526"/>
      <c r="D3" s="526"/>
      <c r="E3" s="673"/>
      <c r="F3" s="673"/>
      <c r="G3" s="673"/>
      <c r="H3" s="528"/>
      <c r="I3" s="526"/>
      <c r="O3" s="535">
        <v>1</v>
      </c>
    </row>
    <row r="4" spans="1:15" ht="17.100000000000001" customHeight="1">
      <c r="A4" s="524"/>
      <c r="B4" s="526"/>
      <c r="C4" s="526"/>
      <c r="D4" s="526"/>
      <c r="E4" s="526"/>
      <c r="F4" s="527"/>
      <c r="G4" s="528"/>
      <c r="H4" s="528"/>
      <c r="I4" s="526"/>
      <c r="O4" s="535">
        <v>2</v>
      </c>
    </row>
    <row r="5" spans="1:15" ht="17.100000000000001" customHeight="1" thickBot="1">
      <c r="A5" s="524"/>
      <c r="B5" s="526"/>
      <c r="C5" s="526"/>
      <c r="D5" s="526"/>
      <c r="E5" s="526"/>
      <c r="F5" s="527"/>
      <c r="G5" s="528"/>
      <c r="H5" s="528"/>
      <c r="I5" s="526"/>
      <c r="J5" s="554" t="s">
        <v>407</v>
      </c>
    </row>
    <row r="6" spans="1:15" ht="21" customHeight="1" thickBot="1">
      <c r="A6" s="524"/>
      <c r="B6" s="529"/>
      <c r="C6" s="529"/>
      <c r="D6" s="529"/>
      <c r="E6" s="531" t="s">
        <v>400</v>
      </c>
      <c r="F6" s="530"/>
      <c r="G6" s="531" t="s">
        <v>401</v>
      </c>
      <c r="H6" s="529"/>
      <c r="I6" s="524"/>
      <c r="J6" s="554" t="s">
        <v>1</v>
      </c>
    </row>
    <row r="7" spans="1:15">
      <c r="A7" s="524"/>
      <c r="B7" s="524"/>
      <c r="C7" s="524"/>
      <c r="D7" s="524"/>
      <c r="E7" s="524"/>
      <c r="F7" s="524"/>
      <c r="G7" s="524"/>
      <c r="H7" s="524"/>
      <c r="I7" s="524"/>
      <c r="J7" s="554" t="s">
        <v>364</v>
      </c>
      <c r="K7" s="543"/>
      <c r="L7" s="544"/>
      <c r="M7" s="544"/>
      <c r="N7" s="545"/>
    </row>
    <row r="8" spans="1:15" ht="21" customHeight="1">
      <c r="A8" s="526"/>
      <c r="B8" s="672" t="str">
        <f>IF($O$3&lt;&gt;2,"DOCUMENTAÇÃO DA PROPOSTA","PROPOSTA: Para visualizar/preencher esta seção, altere o TIPO DE ORÇAMENTO para 'Proposto'")</f>
        <v>DOCUMENTAÇÃO DA PROPOSTA</v>
      </c>
      <c r="C8" s="672"/>
      <c r="D8" s="672"/>
      <c r="E8" s="672"/>
      <c r="F8" s="672"/>
      <c r="G8" s="672"/>
      <c r="H8" s="672"/>
      <c r="I8" s="524"/>
      <c r="J8" s="554" t="s">
        <v>4</v>
      </c>
      <c r="K8" s="546"/>
      <c r="L8" s="547" t="s">
        <v>402</v>
      </c>
      <c r="M8" s="547"/>
      <c r="N8" s="548"/>
    </row>
    <row r="9" spans="1:15" ht="13.5" thickBot="1">
      <c r="A9" s="524"/>
      <c r="B9" s="524"/>
      <c r="C9" s="524"/>
      <c r="D9" s="524"/>
      <c r="E9" s="524"/>
      <c r="F9" s="524"/>
      <c r="G9" s="524"/>
      <c r="H9" s="524"/>
      <c r="I9" s="524"/>
      <c r="K9" s="546"/>
      <c r="L9" s="96" t="s">
        <v>405</v>
      </c>
      <c r="M9" s="96"/>
      <c r="N9" s="548"/>
    </row>
    <row r="10" spans="1:15" ht="21" customHeight="1" thickBot="1">
      <c r="A10" s="524"/>
      <c r="B10" s="524"/>
      <c r="C10" s="534" t="str">
        <f>IF(TIPOORCAMENTO&lt;&gt;"Proposto","","                    BDI                    ")</f>
        <v xml:space="preserve">                    BDI                    </v>
      </c>
      <c r="D10" s="525"/>
      <c r="E10" s="534" t="str">
        <f>IF(TIPOORCAMENTO&lt;&gt;"Proposto","","             ORÇAMENTO             ")</f>
        <v xml:space="preserve">             ORÇAMENTO             </v>
      </c>
      <c r="F10" s="525"/>
      <c r="G10" s="533" t="str">
        <f>IF(TIPOORCAMENTO&lt;&gt;"Proposto","","MEMÓRIA DE CÁLCULO / PLQ")</f>
        <v>MEMÓRIA DE CÁLCULO / PLQ</v>
      </c>
      <c r="H10" s="524"/>
      <c r="I10" s="524"/>
      <c r="K10" s="546"/>
      <c r="L10" s="6"/>
      <c r="M10" s="4"/>
      <c r="N10" s="549" t="s">
        <v>2</v>
      </c>
    </row>
    <row r="11" spans="1:15" ht="13.5" thickBot="1">
      <c r="A11" s="524"/>
      <c r="B11" s="524"/>
      <c r="C11" s="525"/>
      <c r="D11" s="525"/>
      <c r="E11" s="525"/>
      <c r="F11" s="525"/>
      <c r="G11" s="525"/>
      <c r="H11" s="524"/>
      <c r="I11" s="524"/>
      <c r="K11" s="546"/>
      <c r="L11" s="3"/>
      <c r="M11" s="3"/>
      <c r="N11" s="550"/>
    </row>
    <row r="12" spans="1:15" ht="21" customHeight="1" thickBot="1">
      <c r="A12" s="524"/>
      <c r="B12" s="524"/>
      <c r="C12" s="534" t="str">
        <f>IF(TIPOORCAMENTO&lt;&gt;"Proposto","","                    QCI                    ")</f>
        <v xml:space="preserve">                    QCI                    </v>
      </c>
      <c r="D12" s="525"/>
      <c r="E12" s="532" t="str">
        <f>IF(TIPOORCAMENTO&lt;&gt;"Proposto","","CRONOGRAMA FÍSICO-FINANCEIRO")</f>
        <v>CRONOGRAMA FÍSICO-FINANCEIRO</v>
      </c>
      <c r="F12" s="525"/>
      <c r="G12" s="525"/>
      <c r="H12" s="524"/>
      <c r="I12" s="524"/>
      <c r="K12" s="546"/>
      <c r="L12" s="7"/>
      <c r="M12" s="4"/>
      <c r="N12" s="549" t="s">
        <v>3</v>
      </c>
    </row>
    <row r="13" spans="1:15">
      <c r="A13" s="524"/>
      <c r="B13" s="524"/>
      <c r="C13" s="524"/>
      <c r="D13" s="524"/>
      <c r="E13" s="524"/>
      <c r="F13" s="524"/>
      <c r="G13" s="524"/>
      <c r="H13" s="524"/>
      <c r="I13" s="524"/>
      <c r="K13" s="546"/>
      <c r="L13" s="96"/>
      <c r="M13" s="96"/>
      <c r="N13" s="548"/>
    </row>
    <row r="14" spans="1:15">
      <c r="A14" s="524"/>
      <c r="B14" s="524"/>
      <c r="C14" s="524" t="str">
        <f ca="1">IF(TIPOORCAMENTO&lt;&gt;"Proposto","","Obs: Composições e Cotações devem ser preenchidas diretamente no arquivo Referência "&amp;IF(ISBLANK(Import.DataBase),"mm-aaaa",TEXT(Import.DataBase,"mm-aaaa"))&amp;".xlsm.")</f>
        <v>Obs: Composições e Cotações devem ser preenchidas diretamente no arquivo Referência 07-2024.xlsm.</v>
      </c>
      <c r="D14" s="524"/>
      <c r="E14" s="524"/>
      <c r="F14" s="524"/>
      <c r="G14" s="524"/>
      <c r="H14" s="524"/>
      <c r="I14" s="524"/>
      <c r="K14" s="546"/>
      <c r="L14" s="96"/>
      <c r="M14" s="96"/>
      <c r="N14" s="548"/>
    </row>
    <row r="15" spans="1:15">
      <c r="A15" s="524"/>
      <c r="B15" s="524"/>
      <c r="C15" s="524"/>
      <c r="D15" s="524"/>
      <c r="E15" s="524"/>
      <c r="F15" s="524"/>
      <c r="G15" s="524"/>
      <c r="H15" s="524"/>
      <c r="I15" s="524"/>
      <c r="K15" s="546"/>
      <c r="L15" s="96" t="s">
        <v>406</v>
      </c>
      <c r="M15" s="96"/>
      <c r="N15" s="548"/>
    </row>
    <row r="16" spans="1:15" ht="21" customHeight="1">
      <c r="A16" s="524"/>
      <c r="B16" s="672" t="str">
        <f>IF($O$3&lt;&gt;2,"PÓS-LICITADO: Para visualizar/preencher esta seção, altere o TIPO DE ORÇAMENTO para 'Licitado'","RESULTADO DO PROCESSO LICITATÓRIO")</f>
        <v>PÓS-LICITADO: Para visualizar/preencher esta seção, altere o TIPO DE ORÇAMENTO para 'Licitado'</v>
      </c>
      <c r="C16" s="672"/>
      <c r="D16" s="672"/>
      <c r="E16" s="672"/>
      <c r="F16" s="672"/>
      <c r="G16" s="672"/>
      <c r="H16" s="672"/>
      <c r="I16" s="524"/>
      <c r="K16" s="546"/>
      <c r="L16" s="541"/>
      <c r="M16" s="4"/>
      <c r="N16" s="549" t="s">
        <v>403</v>
      </c>
    </row>
    <row r="17" spans="1:14" ht="13.5" thickBot="1">
      <c r="A17" s="524"/>
      <c r="B17" s="524"/>
      <c r="C17" s="524"/>
      <c r="D17" s="524"/>
      <c r="E17" s="524"/>
      <c r="F17" s="524"/>
      <c r="G17" s="524"/>
      <c r="H17" s="524"/>
      <c r="I17" s="524"/>
      <c r="K17" s="546"/>
      <c r="L17" s="3"/>
      <c r="M17" s="3"/>
      <c r="N17" s="550"/>
    </row>
    <row r="18" spans="1:14" ht="21" customHeight="1" thickBot="1">
      <c r="A18" s="524"/>
      <c r="B18" s="524"/>
      <c r="C18" s="537" t="str">
        <f>IF(TIPOORCAMENTO&lt;&gt;"Licitado","","             ORÇAMENTO             ")</f>
        <v/>
      </c>
      <c r="D18" s="525"/>
      <c r="E18" s="537" t="str">
        <f>IF(TIPOORCAMENTO&lt;&gt;"Licitado","","                    QCI                    ")</f>
        <v/>
      </c>
      <c r="F18" s="525"/>
      <c r="G18" s="536" t="str">
        <f>IF(TIPOORCAMENTO&lt;&gt;"Licitado","","CRONOGRAMA FÍSICO-FINANCEIRO")</f>
        <v/>
      </c>
      <c r="H18" s="524"/>
      <c r="I18" s="524"/>
      <c r="K18" s="546"/>
      <c r="L18" s="542"/>
      <c r="M18" s="4"/>
      <c r="N18" s="549" t="s">
        <v>404</v>
      </c>
    </row>
    <row r="19" spans="1:14">
      <c r="A19" s="524"/>
      <c r="B19" s="524"/>
      <c r="C19" s="524"/>
      <c r="D19" s="524"/>
      <c r="E19" s="524"/>
      <c r="F19" s="524"/>
      <c r="G19" s="524"/>
      <c r="H19" s="524"/>
      <c r="I19" s="524"/>
      <c r="K19" s="551"/>
      <c r="L19" s="552"/>
      <c r="M19" s="552"/>
      <c r="N19" s="553"/>
    </row>
    <row r="20" spans="1:14" ht="21" customHeight="1">
      <c r="A20" s="526"/>
      <c r="B20" s="672" t="str">
        <f>IF($O$3&lt;&gt;2,"ACOMPANHAMENTO: Para visualizar/preencher esta seção, altere o TIPO DE ORÇAMENTO para 'Licitado'","ACOMPANHAMENTO DO EMPREENDIMENTO")</f>
        <v>ACOMPANHAMENTO: Para visualizar/preencher esta seção, altere o TIPO DE ORÇAMENTO para 'Licitado'</v>
      </c>
      <c r="C20" s="672"/>
      <c r="D20" s="672"/>
      <c r="E20" s="672"/>
      <c r="F20" s="672"/>
      <c r="G20" s="672"/>
      <c r="H20" s="672"/>
      <c r="I20" s="524"/>
    </row>
    <row r="21" spans="1:14" ht="13.5" thickBot="1">
      <c r="A21" s="524"/>
      <c r="B21" s="524"/>
      <c r="C21" s="524"/>
      <c r="D21" s="524"/>
      <c r="E21" s="524"/>
      <c r="F21" s="524"/>
      <c r="G21" s="524"/>
      <c r="H21" s="524"/>
      <c r="I21" s="524"/>
    </row>
    <row r="22" spans="1:14" ht="21" customHeight="1" thickBot="1">
      <c r="A22" s="524"/>
      <c r="B22" s="524"/>
      <c r="C22" s="538" t="str">
        <f>IF(OR(TIPOORCAMENTO&lt;&gt;"Licitado",ACOMPANHAMENTO&lt;&gt;"PLE"),"","PLAN. DE LEVANT. DE EVENTOS - PLE")</f>
        <v/>
      </c>
      <c r="D22" s="525"/>
      <c r="E22" s="540" t="str">
        <f>IF(TIPOORCAMENTO&lt;&gt;"Licitado","","                    RRE                    ")</f>
        <v/>
      </c>
      <c r="F22" s="525"/>
      <c r="G22" s="539" t="str">
        <f>IF(OR(TIPOORCAMENTO&lt;&gt;"Licitado",ACOMPANHAMENTO&lt;&gt;"BM"),"","  BOLETIM DE MEDIÇÃO - BM  ")</f>
        <v/>
      </c>
      <c r="H22" s="524"/>
      <c r="I22" s="524"/>
    </row>
    <row r="23" spans="1:14" ht="13.5" thickBot="1">
      <c r="A23" s="524"/>
      <c r="B23" s="524"/>
      <c r="C23" s="525"/>
      <c r="D23" s="525"/>
      <c r="E23" s="525"/>
      <c r="F23" s="525"/>
      <c r="G23" s="525"/>
      <c r="H23" s="524"/>
      <c r="I23" s="524"/>
    </row>
    <row r="24" spans="1:14" ht="21" customHeight="1" thickBot="1">
      <c r="A24" s="524"/>
      <c r="B24" s="524"/>
      <c r="C24" s="525"/>
      <c r="D24" s="525"/>
      <c r="E24" s="538" t="str">
        <f>IF(TIPOORCAMENTO&lt;&gt;"Licitado","","OF. DE SOLICITAÇÃO DE DESBLOQUEIO")</f>
        <v/>
      </c>
      <c r="F24" s="525"/>
      <c r="G24" s="525"/>
      <c r="H24" s="524"/>
      <c r="I24" s="524"/>
    </row>
    <row r="25" spans="1:14">
      <c r="A25" s="524"/>
      <c r="B25" s="524"/>
      <c r="C25" s="524"/>
      <c r="D25" s="524"/>
      <c r="E25" s="524"/>
      <c r="F25" s="524"/>
      <c r="G25" s="524"/>
      <c r="H25" s="524"/>
      <c r="I25" s="524"/>
    </row>
  </sheetData>
  <sheetProtection sheet="1" objects="1" scenarios="1" autoFilter="0"/>
  <mergeCells count="4">
    <mergeCell ref="B20:H20"/>
    <mergeCell ref="B8:H8"/>
    <mergeCell ref="E2:G3"/>
    <mergeCell ref="B16:H16"/>
  </mergeCells>
  <phoneticPr fontId="37" type="noConversion"/>
  <conditionalFormatting sqref="C10:G14">
    <cfRule type="expression" dxfId="145" priority="70" stopIfTrue="1">
      <formula>TIPOORCAMENTO="Licitado"</formula>
    </cfRule>
  </conditionalFormatting>
  <conditionalFormatting sqref="C18:G18 E22:E24">
    <cfRule type="expression" dxfId="144" priority="71" stopIfTrue="1">
      <formula>TIPOORCAMENTO&lt;&gt;"Licitado"</formula>
    </cfRule>
  </conditionalFormatting>
  <conditionalFormatting sqref="C22">
    <cfRule type="expression" dxfId="143" priority="73" stopIfTrue="1">
      <formula>OR(TIPOORCAMENTO&lt;&gt;"Licitado",ACOMPANHAMENTO&lt;&gt;"PLE")</formula>
    </cfRule>
  </conditionalFormatting>
  <conditionalFormatting sqref="G22">
    <cfRule type="expression" dxfId="142" priority="74" stopIfTrue="1">
      <formula>OR(TIPOORCAMENTO&lt;&gt;"Licitado",ACOMPANHAMENTO&lt;&gt;"BM")</formula>
    </cfRule>
  </conditionalFormatting>
  <conditionalFormatting sqref="B16:H16 B20:H20">
    <cfRule type="expression" dxfId="141" priority="599" stopIfTrue="1">
      <formula>$O$3&lt;&gt;2</formula>
    </cfRule>
  </conditionalFormatting>
  <conditionalFormatting sqref="B8:H8">
    <cfRule type="expression" dxfId="140" priority="601" stopIfTrue="1">
      <formula>$O$3&lt;&gt;1</formula>
    </cfRule>
  </conditionalFormatting>
  <hyperlinks>
    <hyperlink ref="E6" location="DADOS!E3" display="DADOS DO CONTRATO"/>
    <hyperlink ref="G6" location="Novo!A1" display="NOVIDADES DA VERSÃO"/>
    <hyperlink ref="C10" location="BDI!Q11" display="BDI!Q11"/>
    <hyperlink ref="E10" location="ORÇAMENTO!M13" display="ORÇAMENTO"/>
    <hyperlink ref="G10" location="CÁLCULO!D13" display="MEMÓRIA DE CÁLCULO / PLQ"/>
    <hyperlink ref="E12" location="CRONO!G12" display="CRONOGRAMA FÍSICO-FINANCEIRO"/>
    <hyperlink ref="C18" location="ORÇAMENTO!AM15" display="             ORÇAMENTO             "/>
    <hyperlink ref="E18" location="QCI!D13" display="                    QCI                    "/>
    <hyperlink ref="G18" location="CRONO!G12" display="CRONOGRAMA FÍSICO-FINANCEIRO"/>
    <hyperlink ref="C22" location="PLE!J8" display="PLAN. DE LEVANT. DE EVENTOS - PLE"/>
    <hyperlink ref="E22" location="RRE!E13" display="                    RRE                    "/>
    <hyperlink ref="G22" location="BM!D13" display="BM!D13"/>
    <hyperlink ref="E24" location="Ofício!C6" display="OF. DE SOLICITAÇÃO DE DESBLOQUEIO"/>
    <hyperlink ref="C12" location="QCI!D13" display="QCI!D13"/>
  </hyperlinks>
  <pageMargins left="0.78740157480314998" right="0.78740157480314998" top="0.78740157480314998" bottom="0.78740157480314998" header="5.7086614173228396" footer="0.59055118110236204"/>
  <pageSetup paperSize="9" scale="60" firstPageNumber="0" orientation="portrait" horizontalDpi="300" verticalDpi="300" r:id="rId1"/>
  <headerFooter alignWithMargins="0">
    <oddHeader>&amp;L_</oddHeader>
    <oddFooter>&amp;LPMv3.0.6&amp;R&amp;P / &amp;N</oddFooter>
  </headerFooter>
  <colBreaks count="1" manualBreakCount="1">
    <brk id="9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Plan2">
    <pageSetUpPr fitToPage="1"/>
  </sheetPr>
  <dimension ref="E1:AR61"/>
  <sheetViews>
    <sheetView showGridLines="0" zoomScale="90" zoomScaleNormal="90" workbookViewId="0">
      <pane ySplit="2" topLeftCell="A3" activePane="bottomLeft" state="frozen"/>
      <selection pane="bottomLeft" activeCell="F9" sqref="F9:F10"/>
    </sheetView>
  </sheetViews>
  <sheetFormatPr defaultRowHeight="12.75"/>
  <cols>
    <col min="5" max="5" width="42.7109375" style="8" customWidth="1"/>
    <col min="6" max="6" width="53.28515625" style="8" customWidth="1"/>
    <col min="10" max="10" width="14.28515625" hidden="1" customWidth="1"/>
    <col min="11" max="13" width="0" hidden="1" customWidth="1"/>
    <col min="14" max="14" width="0" style="9" hidden="1" customWidth="1"/>
    <col min="15" max="44" width="0" hidden="1" customWidth="1"/>
  </cols>
  <sheetData>
    <row r="1" spans="5:44" ht="15.75" customHeight="1">
      <c r="E1" s="10" t="s">
        <v>5</v>
      </c>
      <c r="K1" s="11"/>
      <c r="L1" s="675" t="s">
        <v>6</v>
      </c>
      <c r="M1" s="675"/>
      <c r="N1" s="675"/>
      <c r="O1" s="675"/>
      <c r="P1" s="675"/>
      <c r="Q1" s="675"/>
      <c r="R1" s="675"/>
      <c r="S1" s="675"/>
      <c r="T1" s="675"/>
      <c r="U1" s="675"/>
      <c r="V1" s="675"/>
      <c r="W1" s="675"/>
      <c r="X1" s="675"/>
      <c r="Y1" s="675"/>
      <c r="Z1" s="675"/>
      <c r="AA1" s="675"/>
      <c r="AB1" s="675"/>
      <c r="AC1" s="675"/>
      <c r="AD1" s="675"/>
      <c r="AE1" s="675"/>
      <c r="AF1" s="675"/>
      <c r="AG1" s="675"/>
      <c r="AH1" s="675"/>
      <c r="AI1" s="675"/>
      <c r="AJ1" s="675"/>
      <c r="AK1" s="675"/>
      <c r="AL1" s="675"/>
      <c r="AM1" s="675"/>
      <c r="AN1" s="675"/>
      <c r="AO1" s="675"/>
      <c r="AP1" s="675"/>
      <c r="AQ1" s="675"/>
      <c r="AR1" s="675"/>
    </row>
    <row r="2" spans="5:44" ht="12.75" customHeight="1">
      <c r="E2" s="10"/>
      <c r="J2" s="12" t="s">
        <v>7</v>
      </c>
      <c r="K2" s="13" t="s">
        <v>8</v>
      </c>
      <c r="L2" s="14">
        <f>COUNTA(K:K)-1</f>
        <v>3</v>
      </c>
      <c r="M2" s="13" t="s">
        <v>9</v>
      </c>
      <c r="N2" s="14">
        <f>COUNTA(M:M)-1</f>
        <v>6</v>
      </c>
      <c r="O2" s="13" t="s">
        <v>10</v>
      </c>
      <c r="P2" s="14">
        <f>COUNTA(O:O)-1</f>
        <v>6</v>
      </c>
      <c r="Q2" s="13" t="s">
        <v>11</v>
      </c>
      <c r="R2" s="14">
        <f>COUNTA(Q:Q)-1</f>
        <v>6</v>
      </c>
      <c r="S2" s="13" t="s">
        <v>12</v>
      </c>
      <c r="T2" s="14">
        <f>COUNTA(S:S)-1</f>
        <v>11</v>
      </c>
      <c r="U2" s="13" t="s">
        <v>13</v>
      </c>
      <c r="V2" s="14">
        <f>COUNTA(U:U)-1</f>
        <v>8</v>
      </c>
      <c r="W2" s="13" t="s">
        <v>14</v>
      </c>
      <c r="X2" s="14">
        <f>COUNTA(W:W)-1</f>
        <v>4</v>
      </c>
      <c r="Y2" s="13" t="s">
        <v>15</v>
      </c>
      <c r="Z2" s="14">
        <f>COUNTA(Y:Y)-1</f>
        <v>6</v>
      </c>
      <c r="AA2" s="13" t="s">
        <v>16</v>
      </c>
      <c r="AB2" s="14">
        <f>COUNTA(AA:AA)-1</f>
        <v>2</v>
      </c>
      <c r="AC2" s="13" t="s">
        <v>17</v>
      </c>
      <c r="AD2" s="14">
        <f>COUNTA(AC:AC)-1</f>
        <v>2</v>
      </c>
      <c r="AE2" s="13" t="s">
        <v>18</v>
      </c>
      <c r="AF2" s="14">
        <f>COUNTA(AE:AE)-1</f>
        <v>2</v>
      </c>
      <c r="AG2" s="13" t="s">
        <v>19</v>
      </c>
      <c r="AH2" s="14">
        <f>COUNTA(AG:AG)-1</f>
        <v>1</v>
      </c>
      <c r="AI2" s="13" t="s">
        <v>20</v>
      </c>
      <c r="AJ2" s="14">
        <f>COUNTA(AI:AI)-1</f>
        <v>1</v>
      </c>
      <c r="AK2" s="13" t="s">
        <v>21</v>
      </c>
      <c r="AL2" s="14">
        <f>COUNTA(AK:AK)-1</f>
        <v>1</v>
      </c>
      <c r="AM2" s="13" t="s">
        <v>22</v>
      </c>
      <c r="AN2" s="14">
        <f>COUNTA(AM:AM)-1</f>
        <v>3</v>
      </c>
      <c r="AO2" s="13" t="s">
        <v>23</v>
      </c>
      <c r="AP2" s="14">
        <f>COUNTA(AO:AO)-1</f>
        <v>1</v>
      </c>
      <c r="AQ2" s="13" t="s">
        <v>24</v>
      </c>
      <c r="AR2" s="14">
        <f>COUNTA(AQ:AQ)-1</f>
        <v>4</v>
      </c>
    </row>
    <row r="3" spans="5:44" ht="15">
      <c r="E3" s="674" t="s">
        <v>25</v>
      </c>
      <c r="F3" s="674"/>
      <c r="J3" s="15" t="s">
        <v>8</v>
      </c>
      <c r="K3" s="16" t="s">
        <v>26</v>
      </c>
      <c r="L3" s="17" t="s">
        <v>27</v>
      </c>
      <c r="M3" s="18" t="s">
        <v>28</v>
      </c>
      <c r="N3" s="17" t="s">
        <v>29</v>
      </c>
      <c r="O3" s="16" t="s">
        <v>30</v>
      </c>
      <c r="P3" s="17" t="s">
        <v>29</v>
      </c>
      <c r="Q3" s="19" t="s">
        <v>31</v>
      </c>
      <c r="R3" s="20" t="s">
        <v>32</v>
      </c>
      <c r="S3" s="16" t="s">
        <v>33</v>
      </c>
      <c r="T3" s="20" t="s">
        <v>34</v>
      </c>
      <c r="U3" s="19" t="s">
        <v>35</v>
      </c>
      <c r="V3" s="17" t="s">
        <v>27</v>
      </c>
      <c r="W3" s="16" t="s">
        <v>36</v>
      </c>
      <c r="X3" s="17" t="s">
        <v>27</v>
      </c>
      <c r="Y3" s="16" t="s">
        <v>37</v>
      </c>
      <c r="Z3" s="17" t="s">
        <v>27</v>
      </c>
      <c r="AA3" s="16" t="s">
        <v>38</v>
      </c>
      <c r="AB3" s="17" t="s">
        <v>29</v>
      </c>
      <c r="AC3" s="16" t="s">
        <v>39</v>
      </c>
      <c r="AD3" s="17" t="s">
        <v>29</v>
      </c>
      <c r="AE3" s="16" t="s">
        <v>18</v>
      </c>
      <c r="AF3" s="17" t="s">
        <v>29</v>
      </c>
      <c r="AG3" s="16" t="s">
        <v>19</v>
      </c>
      <c r="AH3" s="17" t="s">
        <v>27</v>
      </c>
      <c r="AI3" s="16" t="s">
        <v>20</v>
      </c>
      <c r="AJ3" s="17" t="s">
        <v>27</v>
      </c>
      <c r="AK3" s="16" t="s">
        <v>21</v>
      </c>
      <c r="AL3" s="17" t="s">
        <v>27</v>
      </c>
      <c r="AM3" s="16" t="s">
        <v>40</v>
      </c>
      <c r="AN3" s="17" t="s">
        <v>27</v>
      </c>
      <c r="AO3" s="16" t="s">
        <v>23</v>
      </c>
      <c r="AP3" s="20" t="s">
        <v>41</v>
      </c>
      <c r="AQ3" s="16" t="s">
        <v>42</v>
      </c>
      <c r="AR3" s="20" t="s">
        <v>43</v>
      </c>
    </row>
    <row r="4" spans="5:44">
      <c r="E4" s="21" t="s">
        <v>44</v>
      </c>
      <c r="F4" s="22" t="s">
        <v>454</v>
      </c>
      <c r="J4" s="15" t="s">
        <v>9</v>
      </c>
      <c r="K4" s="16" t="s">
        <v>45</v>
      </c>
      <c r="L4" s="20" t="s">
        <v>27</v>
      </c>
      <c r="M4" s="16" t="s">
        <v>46</v>
      </c>
      <c r="N4" s="20" t="s">
        <v>29</v>
      </c>
      <c r="O4" s="16" t="s">
        <v>47</v>
      </c>
      <c r="P4" s="17" t="s">
        <v>29</v>
      </c>
      <c r="Q4" s="16" t="s">
        <v>48</v>
      </c>
      <c r="R4" s="17" t="s">
        <v>32</v>
      </c>
      <c r="S4" s="16" t="s">
        <v>49</v>
      </c>
      <c r="T4" s="20" t="s">
        <v>34</v>
      </c>
      <c r="U4" s="19" t="s">
        <v>50</v>
      </c>
      <c r="V4" s="17" t="s">
        <v>32</v>
      </c>
      <c r="W4" s="16" t="s">
        <v>51</v>
      </c>
      <c r="X4" s="20" t="s">
        <v>27</v>
      </c>
      <c r="Y4" s="19" t="s">
        <v>52</v>
      </c>
      <c r="Z4" s="17" t="s">
        <v>53</v>
      </c>
      <c r="AA4" s="16" t="s">
        <v>54</v>
      </c>
      <c r="AB4" s="17" t="s">
        <v>29</v>
      </c>
      <c r="AC4" s="16" t="s">
        <v>55</v>
      </c>
      <c r="AD4" s="17" t="s">
        <v>29</v>
      </c>
      <c r="AE4" s="16" t="s">
        <v>56</v>
      </c>
      <c r="AF4" s="17" t="s">
        <v>29</v>
      </c>
      <c r="AH4" s="20"/>
      <c r="AJ4" s="20"/>
      <c r="AL4" s="20"/>
      <c r="AM4" s="16" t="s">
        <v>57</v>
      </c>
      <c r="AN4" s="17" t="s">
        <v>27</v>
      </c>
      <c r="AQ4" s="16" t="s">
        <v>58</v>
      </c>
      <c r="AR4" s="20" t="s">
        <v>43</v>
      </c>
    </row>
    <row r="5" spans="5:44">
      <c r="E5" s="23" t="s">
        <v>59</v>
      </c>
      <c r="F5" s="665" t="s">
        <v>484</v>
      </c>
      <c r="J5" s="15" t="s">
        <v>10</v>
      </c>
      <c r="K5" s="16" t="s">
        <v>60</v>
      </c>
      <c r="L5" s="20" t="s">
        <v>27</v>
      </c>
      <c r="M5" s="16" t="s">
        <v>61</v>
      </c>
      <c r="N5" s="20" t="s">
        <v>29</v>
      </c>
      <c r="O5" s="16" t="s">
        <v>62</v>
      </c>
      <c r="P5" s="20" t="s">
        <v>32</v>
      </c>
      <c r="Q5" s="16" t="s">
        <v>63</v>
      </c>
      <c r="R5" s="20" t="s">
        <v>32</v>
      </c>
      <c r="S5" s="16" t="s">
        <v>64</v>
      </c>
      <c r="T5" s="20" t="s">
        <v>34</v>
      </c>
      <c r="U5" s="19" t="s">
        <v>65</v>
      </c>
      <c r="V5" s="17" t="s">
        <v>32</v>
      </c>
      <c r="W5" s="16" t="s">
        <v>66</v>
      </c>
      <c r="X5" s="20" t="s">
        <v>32</v>
      </c>
      <c r="Y5" s="16" t="s">
        <v>67</v>
      </c>
      <c r="Z5" s="17" t="s">
        <v>53</v>
      </c>
      <c r="AB5" s="20"/>
      <c r="AD5" s="20"/>
      <c r="AF5" s="20"/>
      <c r="AH5" s="20"/>
      <c r="AJ5" s="20"/>
      <c r="AL5" s="20"/>
      <c r="AM5" s="16" t="s">
        <v>68</v>
      </c>
      <c r="AN5" s="17" t="s">
        <v>27</v>
      </c>
      <c r="AQ5" s="16" t="s">
        <v>69</v>
      </c>
      <c r="AR5" s="20" t="s">
        <v>43</v>
      </c>
    </row>
    <row r="6" spans="5:44">
      <c r="E6" s="23" t="s">
        <v>70</v>
      </c>
      <c r="F6" s="665" t="s">
        <v>451</v>
      </c>
      <c r="J6" s="15" t="s">
        <v>11</v>
      </c>
      <c r="M6" s="16" t="s">
        <v>71</v>
      </c>
      <c r="N6" s="20" t="s">
        <v>29</v>
      </c>
      <c r="O6" s="16" t="s">
        <v>72</v>
      </c>
      <c r="P6" s="20" t="s">
        <v>29</v>
      </c>
      <c r="Q6" s="19" t="s">
        <v>73</v>
      </c>
      <c r="R6" s="20" t="s">
        <v>29</v>
      </c>
      <c r="S6" s="16" t="s">
        <v>74</v>
      </c>
      <c r="T6" s="20" t="s">
        <v>32</v>
      </c>
      <c r="U6" s="16" t="s">
        <v>75</v>
      </c>
      <c r="V6" s="20" t="s">
        <v>32</v>
      </c>
      <c r="W6" s="16" t="s">
        <v>76</v>
      </c>
      <c r="X6" s="20" t="s">
        <v>32</v>
      </c>
      <c r="Y6" s="19" t="s">
        <v>77</v>
      </c>
      <c r="Z6" s="17" t="s">
        <v>27</v>
      </c>
      <c r="AQ6" s="16" t="s">
        <v>78</v>
      </c>
      <c r="AR6" s="20" t="s">
        <v>43</v>
      </c>
    </row>
    <row r="7" spans="5:44">
      <c r="E7" s="25" t="s">
        <v>79</v>
      </c>
      <c r="F7" s="664" t="s">
        <v>453</v>
      </c>
      <c r="J7" s="15" t="s">
        <v>12</v>
      </c>
      <c r="M7" s="16" t="s">
        <v>80</v>
      </c>
      <c r="N7" s="20" t="s">
        <v>29</v>
      </c>
      <c r="O7" s="16" t="s">
        <v>81</v>
      </c>
      <c r="P7" s="20" t="s">
        <v>29</v>
      </c>
      <c r="Q7" s="19" t="s">
        <v>82</v>
      </c>
      <c r="R7" s="20" t="s">
        <v>53</v>
      </c>
      <c r="S7" s="16" t="s">
        <v>83</v>
      </c>
      <c r="T7" s="20" t="s">
        <v>34</v>
      </c>
      <c r="U7" s="16" t="s">
        <v>84</v>
      </c>
      <c r="V7" s="20" t="s">
        <v>34</v>
      </c>
      <c r="W7" s="16"/>
      <c r="Y7" s="16" t="s">
        <v>85</v>
      </c>
      <c r="Z7" s="17" t="s">
        <v>27</v>
      </c>
    </row>
    <row r="8" spans="5:44">
      <c r="E8" s="25" t="s">
        <v>441</v>
      </c>
      <c r="F8" s="664" t="s">
        <v>452</v>
      </c>
      <c r="J8" s="15" t="s">
        <v>13</v>
      </c>
      <c r="M8" s="16" t="s">
        <v>86</v>
      </c>
      <c r="N8" s="17" t="s">
        <v>29</v>
      </c>
      <c r="O8" s="16" t="s">
        <v>87</v>
      </c>
      <c r="P8" s="20" t="s">
        <v>29</v>
      </c>
      <c r="Q8" s="19" t="s">
        <v>88</v>
      </c>
      <c r="R8" s="20" t="s">
        <v>34</v>
      </c>
      <c r="S8" s="16" t="s">
        <v>89</v>
      </c>
      <c r="T8" s="20" t="s">
        <v>34</v>
      </c>
      <c r="U8" s="16" t="s">
        <v>90</v>
      </c>
      <c r="V8" s="20" t="s">
        <v>34</v>
      </c>
      <c r="Y8" s="16" t="s">
        <v>91</v>
      </c>
      <c r="Z8" s="17" t="s">
        <v>29</v>
      </c>
    </row>
    <row r="9" spans="5:44">
      <c r="E9" s="25" t="str">
        <f>IF(F4="FGTS","Valor de Financiamento Contratado (R$):","Valor do Repasse Contratado (R$):")</f>
        <v>Valor do Repasse Contratado (R$):</v>
      </c>
      <c r="F9" s="27">
        <v>549147.59</v>
      </c>
      <c r="J9" s="15" t="s">
        <v>14</v>
      </c>
      <c r="S9" s="16" t="s">
        <v>92</v>
      </c>
      <c r="T9" s="20" t="s">
        <v>32</v>
      </c>
      <c r="U9" s="16" t="s">
        <v>93</v>
      </c>
      <c r="V9" s="20" t="s">
        <v>34</v>
      </c>
    </row>
    <row r="10" spans="5:44">
      <c r="E10" s="25" t="s">
        <v>94</v>
      </c>
      <c r="F10" s="27">
        <v>5491.47</v>
      </c>
      <c r="J10" s="15" t="s">
        <v>15</v>
      </c>
      <c r="S10" s="16" t="s">
        <v>95</v>
      </c>
      <c r="T10" s="20" t="s">
        <v>53</v>
      </c>
      <c r="U10" s="16" t="s">
        <v>96</v>
      </c>
      <c r="V10" s="17" t="s">
        <v>27</v>
      </c>
    </row>
    <row r="11" spans="5:44">
      <c r="E11" s="25" t="s">
        <v>97</v>
      </c>
      <c r="F11" s="28"/>
      <c r="J11" s="15" t="s">
        <v>16</v>
      </c>
      <c r="S11" s="16" t="s">
        <v>98</v>
      </c>
      <c r="T11" s="20" t="s">
        <v>32</v>
      </c>
    </row>
    <row r="12" spans="5:44">
      <c r="E12" s="25" t="s">
        <v>99</v>
      </c>
      <c r="F12" s="27"/>
      <c r="J12" s="15" t="s">
        <v>17</v>
      </c>
      <c r="S12" s="16" t="s">
        <v>35</v>
      </c>
      <c r="T12" s="20" t="s">
        <v>27</v>
      </c>
    </row>
    <row r="13" spans="5:44">
      <c r="E13" s="29" t="s">
        <v>100</v>
      </c>
      <c r="F13" s="30">
        <v>0.01</v>
      </c>
      <c r="J13" s="15" t="s">
        <v>18</v>
      </c>
      <c r="S13" s="16" t="s">
        <v>101</v>
      </c>
      <c r="T13" s="20" t="s">
        <v>32</v>
      </c>
    </row>
    <row r="14" spans="5:44">
      <c r="E14" s="4"/>
      <c r="F14" s="31"/>
      <c r="J14" s="15" t="s">
        <v>19</v>
      </c>
    </row>
    <row r="15" spans="5:44" ht="15">
      <c r="E15" s="674" t="s">
        <v>102</v>
      </c>
      <c r="F15" s="674"/>
      <c r="J15" s="15" t="s">
        <v>20</v>
      </c>
    </row>
    <row r="16" spans="5:44">
      <c r="E16" s="32" t="s">
        <v>103</v>
      </c>
      <c r="F16" s="667" t="s">
        <v>456</v>
      </c>
      <c r="J16" s="15" t="s">
        <v>21</v>
      </c>
    </row>
    <row r="17" spans="5:10" ht="25.5">
      <c r="E17" s="25" t="s">
        <v>104</v>
      </c>
      <c r="F17" s="666" t="s">
        <v>457</v>
      </c>
      <c r="J17" s="15" t="s">
        <v>22</v>
      </c>
    </row>
    <row r="18" spans="5:10">
      <c r="E18" s="33" t="s">
        <v>105</v>
      </c>
      <c r="F18" s="34" t="s">
        <v>455</v>
      </c>
      <c r="J18" s="15" t="s">
        <v>23</v>
      </c>
    </row>
    <row r="19" spans="5:10">
      <c r="E19" s="35" t="s">
        <v>106</v>
      </c>
      <c r="F19" s="36">
        <v>45474</v>
      </c>
      <c r="J19" s="15" t="s">
        <v>24</v>
      </c>
    </row>
    <row r="20" spans="5:10">
      <c r="E20" s="37"/>
      <c r="F20" s="38"/>
      <c r="J20" s="15"/>
    </row>
    <row r="21" spans="5:10" ht="15">
      <c r="E21" s="674" t="s">
        <v>107</v>
      </c>
      <c r="F21" s="674"/>
      <c r="J21" s="15"/>
    </row>
    <row r="22" spans="5:10">
      <c r="E22" s="23" t="s">
        <v>108</v>
      </c>
      <c r="F22" s="663" t="s">
        <v>449</v>
      </c>
    </row>
    <row r="23" spans="5:10">
      <c r="E23" s="25" t="s">
        <v>109</v>
      </c>
      <c r="F23" s="664" t="s">
        <v>450</v>
      </c>
    </row>
    <row r="24" spans="5:10">
      <c r="E24" s="25" t="s">
        <v>110</v>
      </c>
      <c r="F24" s="664" t="s">
        <v>487</v>
      </c>
    </row>
    <row r="25" spans="5:10">
      <c r="E25" s="29" t="s">
        <v>111</v>
      </c>
      <c r="F25" s="39">
        <f ca="1">TODAY()</f>
        <v>45609</v>
      </c>
    </row>
    <row r="26" spans="5:10">
      <c r="E26" s="37"/>
      <c r="F26" s="37"/>
    </row>
    <row r="27" spans="5:10" ht="15">
      <c r="E27" s="674" t="s">
        <v>112</v>
      </c>
      <c r="F27" s="674"/>
    </row>
    <row r="28" spans="5:10">
      <c r="E28" s="21" t="s">
        <v>108</v>
      </c>
      <c r="F28" s="661" t="s">
        <v>447</v>
      </c>
    </row>
    <row r="29" spans="5:10">
      <c r="E29" s="29" t="s">
        <v>113</v>
      </c>
      <c r="F29" s="662" t="s">
        <v>448</v>
      </c>
    </row>
    <row r="30" spans="5:10" ht="16.5" thickBot="1">
      <c r="E30" s="10"/>
    </row>
    <row r="31" spans="5:10" ht="13.5" thickBot="1">
      <c r="E31" s="657" t="s">
        <v>439</v>
      </c>
      <c r="F31" s="658" t="s">
        <v>473</v>
      </c>
    </row>
    <row r="32" spans="5:10" ht="12.75" customHeight="1">
      <c r="E32" s="10"/>
    </row>
    <row r="33" spans="5:6" ht="12.75" customHeight="1">
      <c r="E33" s="10" t="s">
        <v>114</v>
      </c>
    </row>
    <row r="34" spans="5:6" ht="15.75">
      <c r="E34" s="10"/>
    </row>
    <row r="35" spans="5:6" ht="12.75" customHeight="1">
      <c r="E35" s="676" t="s">
        <v>115</v>
      </c>
      <c r="F35" s="676"/>
    </row>
    <row r="36" spans="5:6">
      <c r="E36" s="21" t="s">
        <v>116</v>
      </c>
      <c r="F36" s="40"/>
    </row>
    <row r="37" spans="5:6">
      <c r="E37" s="41" t="s">
        <v>117</v>
      </c>
      <c r="F37" s="24"/>
    </row>
    <row r="38" spans="5:6">
      <c r="E38" s="33" t="s">
        <v>118</v>
      </c>
      <c r="F38" s="26"/>
    </row>
    <row r="39" spans="5:6">
      <c r="E39" s="33" t="s">
        <v>119</v>
      </c>
      <c r="F39" s="26"/>
    </row>
    <row r="40" spans="5:6">
      <c r="E40" s="33" t="s">
        <v>120</v>
      </c>
      <c r="F40" s="34" t="s">
        <v>409</v>
      </c>
    </row>
    <row r="41" spans="5:6">
      <c r="E41" s="42" t="s">
        <v>121</v>
      </c>
      <c r="F41" s="43"/>
    </row>
    <row r="42" spans="5:6" ht="15.75">
      <c r="E42" s="10"/>
    </row>
    <row r="43" spans="5:6" ht="12.75" customHeight="1">
      <c r="E43" s="10"/>
    </row>
    <row r="44" spans="5:6" ht="12.75" customHeight="1">
      <c r="E44" s="10" t="s">
        <v>122</v>
      </c>
    </row>
    <row r="45" spans="5:6" ht="15.75">
      <c r="E45" s="10"/>
    </row>
    <row r="46" spans="5:6" ht="12.75" customHeight="1">
      <c r="E46" s="674" t="s">
        <v>123</v>
      </c>
      <c r="F46" s="674"/>
    </row>
    <row r="47" spans="5:6">
      <c r="E47" s="21" t="s">
        <v>124</v>
      </c>
      <c r="F47" s="40"/>
    </row>
    <row r="48" spans="5:6">
      <c r="E48" s="35" t="s">
        <v>125</v>
      </c>
      <c r="F48" s="44">
        <f ca="1">TODAY()</f>
        <v>45609</v>
      </c>
    </row>
    <row r="49" spans="5:6" ht="15.75">
      <c r="E49" s="10"/>
    </row>
    <row r="50" spans="5:6" ht="12.75" customHeight="1">
      <c r="E50" s="674" t="s">
        <v>126</v>
      </c>
      <c r="F50" s="674"/>
    </row>
    <row r="51" spans="5:6">
      <c r="E51" s="21" t="s">
        <v>108</v>
      </c>
      <c r="F51" s="45"/>
    </row>
    <row r="52" spans="5:6">
      <c r="E52" s="25" t="s">
        <v>127</v>
      </c>
      <c r="F52" s="26"/>
    </row>
    <row r="53" spans="5:6">
      <c r="E53" s="25" t="s">
        <v>128</v>
      </c>
      <c r="F53" s="26"/>
    </row>
    <row r="54" spans="5:6">
      <c r="E54" s="29" t="s">
        <v>129</v>
      </c>
      <c r="F54" s="46"/>
    </row>
    <row r="55" spans="5:6">
      <c r="E55" s="37"/>
      <c r="F55" s="38"/>
    </row>
    <row r="57" spans="5:6" ht="15.75">
      <c r="E57" s="10" t="s">
        <v>130</v>
      </c>
    </row>
    <row r="58" spans="5:6" ht="16.5" thickBot="1">
      <c r="E58" s="10"/>
    </row>
    <row r="59" spans="5:6" ht="15.75" thickBot="1">
      <c r="E59" s="674" t="s">
        <v>131</v>
      </c>
      <c r="F59" s="674"/>
    </row>
    <row r="60" spans="5:6">
      <c r="E60" s="21" t="s">
        <v>108</v>
      </c>
      <c r="F60" s="47"/>
    </row>
    <row r="61" spans="5:6" ht="13.5" thickBot="1">
      <c r="E61" s="35" t="s">
        <v>132</v>
      </c>
      <c r="F61" s="48"/>
    </row>
  </sheetData>
  <sheetProtection sheet="1" objects="1" scenarios="1" autoFilter="0"/>
  <mergeCells count="9">
    <mergeCell ref="E50:F50"/>
    <mergeCell ref="E59:F59"/>
    <mergeCell ref="L1:AR1"/>
    <mergeCell ref="E3:F3"/>
    <mergeCell ref="E15:F15"/>
    <mergeCell ref="E21:F21"/>
    <mergeCell ref="E27:F27"/>
    <mergeCell ref="E35:F35"/>
    <mergeCell ref="E46:F46"/>
  </mergeCells>
  <phoneticPr fontId="37" type="noConversion"/>
  <conditionalFormatting sqref="E57:F58">
    <cfRule type="expression" dxfId="139" priority="2" stopIfTrue="1">
      <formula>CAIXA.Modo=FALSE</formula>
    </cfRule>
  </conditionalFormatting>
  <conditionalFormatting sqref="E59:F61">
    <cfRule type="expression" dxfId="138" priority="3" stopIfTrue="1">
      <formula>CAIXA.Modo=FALSE</formula>
    </cfRule>
  </conditionalFormatting>
  <dataValidations count="7">
    <dataValidation type="date" allowBlank="1" showErrorMessage="1" errorTitle="Dados inválidos" error="Digite somente datas válidas no formato mm/aaaa." sqref="F19 F25 F36 F41 F47:F48">
      <formula1>36526</formula1>
      <formula2>72686</formula2>
    </dataValidation>
    <dataValidation type="list" allowBlank="1" showErrorMessage="1" sqref="F18">
      <formula1>"(SELECIONAR),NÃO SE APLICA,DESONERADO,NÃO DESONERADO"</formula1>
      <formula2>0</formula2>
    </dataValidation>
    <dataValidation type="decimal" allowBlank="1" showErrorMessage="1" error="Digite um valor em percentual.&#10;&#10;Ou seja um valor de 0% (zero) até 100% (cem). " sqref="F11 F13:F14">
      <formula1>0</formula1>
      <formula2>1</formula2>
    </dataValidation>
    <dataValidation type="list" allowBlank="1" showErrorMessage="1" sqref="F4">
      <formula1>"(SELECIONAR),OGU,FGTS"</formula1>
      <formula2>0</formula2>
    </dataValidation>
    <dataValidation type="decimal" operator="greaterThan" allowBlank="1" showErrorMessage="1" error="Digite um valor maior do que 0." sqref="F12">
      <formula1>0</formula1>
      <formula2>0</formula2>
    </dataValidation>
    <dataValidation type="list" allowBlank="1" showErrorMessage="1" sqref="F40">
      <formula1>"(SELECIONAR),INDEFINIDO / NÃO SE APLICA,EMPREITADA POR PREÇO GLOBAL,EMPREITADA POR PREÇO UNITÁRIO,EMPREITADA INTEGRAL,TAREFA,CONTRATAÇÃO INTEGRADA,ADM. DIRETA"</formula1>
      <formula2>0</formula2>
    </dataValidation>
    <dataValidation type="list" allowBlank="1" showErrorMessage="1" sqref="F31">
      <formula1>"Tradicional,TransfereGOV"</formula1>
    </dataValidation>
  </dataValidations>
  <pageMargins left="0.78740157480314998" right="0.78740157480314998" top="0.78740157480314998" bottom="0.78740157480314998" header="5.7086614173228396" footer="0.59055118110236204"/>
  <pageSetup paperSize="9" scale="65" firstPageNumber="0" fitToHeight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Plan3"/>
  <dimension ref="A3:E52"/>
  <sheetViews>
    <sheetView showGridLines="0" zoomScale="90" zoomScaleNormal="90" workbookViewId="0">
      <pane ySplit="3" topLeftCell="A4" activePane="bottomLeft" state="frozen"/>
      <selection pane="bottomLeft"/>
    </sheetView>
  </sheetViews>
  <sheetFormatPr defaultRowHeight="12.75"/>
  <cols>
    <col min="1" max="1" width="8.7109375" customWidth="1"/>
    <col min="2" max="2" width="5.7109375" customWidth="1"/>
    <col min="3" max="3" width="3.7109375" customWidth="1"/>
  </cols>
  <sheetData>
    <row r="3" spans="1:4" ht="36.75" customHeight="1">
      <c r="B3" s="49" t="s">
        <v>133</v>
      </c>
    </row>
    <row r="5" spans="1:4" ht="18.75">
      <c r="A5" s="50"/>
      <c r="B5" s="51"/>
      <c r="C5" s="51"/>
      <c r="D5" s="52"/>
    </row>
    <row r="6" spans="1:4" ht="18.75">
      <c r="A6" s="53" t="s">
        <v>134</v>
      </c>
      <c r="B6" s="54"/>
      <c r="C6" s="54"/>
      <c r="D6" s="37"/>
    </row>
    <row r="7" spans="1:4" ht="15">
      <c r="A7" s="55"/>
      <c r="B7" s="56" t="s">
        <v>135</v>
      </c>
      <c r="C7" s="56"/>
      <c r="D7" s="37"/>
    </row>
    <row r="8" spans="1:4" ht="15">
      <c r="A8" s="55"/>
      <c r="B8" s="56"/>
      <c r="C8" s="57" t="str">
        <f>IF(D8&lt;&gt;"","▪","")</f>
        <v>▪</v>
      </c>
      <c r="D8" s="37" t="s">
        <v>136</v>
      </c>
    </row>
    <row r="9" spans="1:4" ht="15">
      <c r="A9" s="55"/>
      <c r="B9" s="58"/>
      <c r="C9" s="59" t="str">
        <f>IF(D9&lt;&gt;"","▪","")</f>
        <v/>
      </c>
      <c r="D9" s="60"/>
    </row>
    <row r="10" spans="1:4" ht="18.75">
      <c r="A10" s="647" t="s">
        <v>412</v>
      </c>
      <c r="B10" s="648"/>
      <c r="C10" s="648"/>
      <c r="D10" s="649"/>
    </row>
    <row r="11" spans="1:4" ht="15">
      <c r="A11" s="55"/>
      <c r="B11" s="56" t="s">
        <v>135</v>
      </c>
      <c r="C11" s="56"/>
      <c r="D11" s="37"/>
    </row>
    <row r="12" spans="1:4" ht="15">
      <c r="A12" s="55"/>
      <c r="B12" s="56"/>
      <c r="C12" s="57" t="str">
        <f>IF(D12&lt;&gt;"","▪","")</f>
        <v>▪</v>
      </c>
      <c r="D12" s="37" t="s">
        <v>415</v>
      </c>
    </row>
    <row r="13" spans="1:4" ht="15">
      <c r="A13" s="55"/>
      <c r="B13" s="56" t="s">
        <v>413</v>
      </c>
      <c r="C13" s="56"/>
      <c r="D13" s="37"/>
    </row>
    <row r="14" spans="1:4" ht="15">
      <c r="A14" s="548"/>
      <c r="B14" s="56"/>
      <c r="C14" s="57" t="str">
        <f>IF(D14&lt;&gt;"","▪","")</f>
        <v>▪</v>
      </c>
      <c r="D14" s="37" t="s">
        <v>416</v>
      </c>
    </row>
    <row r="15" spans="1:4" ht="15">
      <c r="A15" s="548"/>
      <c r="C15" s="57" t="str">
        <f>IF(D15&lt;&gt;"","▪","")</f>
        <v>▪</v>
      </c>
      <c r="D15" s="37" t="s">
        <v>417</v>
      </c>
    </row>
    <row r="16" spans="1:4">
      <c r="A16" s="553"/>
    </row>
    <row r="17" spans="1:4" ht="18.75">
      <c r="A17" s="647" t="s">
        <v>419</v>
      </c>
      <c r="B17" s="648"/>
      <c r="C17" s="648"/>
      <c r="D17" s="649"/>
    </row>
    <row r="18" spans="1:4" ht="15">
      <c r="A18" s="55"/>
      <c r="B18" s="56" t="s">
        <v>135</v>
      </c>
      <c r="C18" s="56"/>
      <c r="D18" s="37"/>
    </row>
    <row r="19" spans="1:4" ht="15">
      <c r="A19" s="55"/>
      <c r="B19" s="56"/>
      <c r="C19" s="57" t="str">
        <f>IF(D19&lt;&gt;"","▪","")</f>
        <v>▪</v>
      </c>
      <c r="D19" s="37" t="s">
        <v>415</v>
      </c>
    </row>
    <row r="20" spans="1:4" ht="15">
      <c r="A20" s="55"/>
      <c r="B20" s="56"/>
      <c r="C20" s="57" t="str">
        <f>IF(D20&lt;&gt;"","▪","")</f>
        <v>▪</v>
      </c>
      <c r="D20" s="37" t="s">
        <v>428</v>
      </c>
    </row>
    <row r="21" spans="1:4" ht="15">
      <c r="A21" s="548"/>
      <c r="B21" s="56" t="s">
        <v>426</v>
      </c>
      <c r="C21" s="56"/>
      <c r="D21" s="37"/>
    </row>
    <row r="22" spans="1:4" ht="15">
      <c r="A22" s="548"/>
      <c r="B22" s="56"/>
      <c r="C22" s="57" t="str">
        <f>IF(D22&lt;&gt;"","▪","")</f>
        <v>▪</v>
      </c>
      <c r="D22" s="37" t="s">
        <v>427</v>
      </c>
    </row>
    <row r="23" spans="1:4" ht="15">
      <c r="A23" s="548"/>
      <c r="B23" s="56" t="s">
        <v>420</v>
      </c>
      <c r="C23" s="56"/>
      <c r="D23" s="37"/>
    </row>
    <row r="24" spans="1:4" ht="15">
      <c r="A24" s="548"/>
      <c r="B24" s="56"/>
      <c r="C24" s="57" t="str">
        <f>IF(D24&lt;&gt;"","▪","")</f>
        <v>▪</v>
      </c>
      <c r="D24" s="37" t="s">
        <v>424</v>
      </c>
    </row>
    <row r="25" spans="1:4" ht="15">
      <c r="A25" s="548"/>
      <c r="B25" s="56" t="s">
        <v>421</v>
      </c>
      <c r="C25" s="56"/>
      <c r="D25" s="37"/>
    </row>
    <row r="26" spans="1:4" ht="15">
      <c r="A26" s="548"/>
      <c r="B26" s="56"/>
      <c r="C26" s="57" t="str">
        <f>IF(D26&lt;&gt;"","▪","")</f>
        <v>▪</v>
      </c>
      <c r="D26" s="37" t="s">
        <v>423</v>
      </c>
    </row>
    <row r="27" spans="1:4" ht="15">
      <c r="A27" s="548"/>
      <c r="B27" s="56" t="s">
        <v>425</v>
      </c>
      <c r="C27" s="56"/>
      <c r="D27" s="37"/>
    </row>
    <row r="28" spans="1:4" ht="15">
      <c r="A28" s="548"/>
      <c r="B28" s="56"/>
      <c r="C28" s="57" t="str">
        <f>IF(D28&lt;&gt;"","▪","")</f>
        <v>▪</v>
      </c>
      <c r="D28" s="37" t="s">
        <v>422</v>
      </c>
    </row>
    <row r="29" spans="1:4">
      <c r="A29" s="553"/>
    </row>
    <row r="30" spans="1:4" ht="18.75">
      <c r="A30" s="647" t="s">
        <v>429</v>
      </c>
      <c r="B30" s="648"/>
      <c r="C30" s="648"/>
      <c r="D30" s="649"/>
    </row>
    <row r="31" spans="1:4" ht="15">
      <c r="A31" s="55"/>
      <c r="B31" s="56" t="s">
        <v>135</v>
      </c>
      <c r="C31" s="56"/>
      <c r="D31" s="37"/>
    </row>
    <row r="32" spans="1:4" ht="15">
      <c r="A32" s="55"/>
      <c r="B32" s="56"/>
      <c r="C32" s="57" t="str">
        <f>IF(D32&lt;&gt;"","▪","")</f>
        <v>▪</v>
      </c>
      <c r="D32" s="37" t="s">
        <v>428</v>
      </c>
    </row>
    <row r="33" spans="1:5" ht="15">
      <c r="A33" s="55"/>
      <c r="B33" s="56" t="s">
        <v>430</v>
      </c>
      <c r="C33" s="57"/>
      <c r="D33" s="37"/>
    </row>
    <row r="34" spans="1:5" ht="15">
      <c r="A34" s="55"/>
      <c r="B34" s="56"/>
      <c r="C34" s="57" t="str">
        <f>IF(D34&lt;&gt;"","▪","")</f>
        <v>▪</v>
      </c>
      <c r="D34" s="37" t="s">
        <v>431</v>
      </c>
    </row>
    <row r="35" spans="1:5" ht="15">
      <c r="A35" s="55"/>
      <c r="B35" s="56"/>
      <c r="C35" s="56"/>
      <c r="D35" s="56"/>
      <c r="E35" s="56"/>
    </row>
    <row r="36" spans="1:5">
      <c r="A36" s="553"/>
    </row>
    <row r="37" spans="1:5" ht="18.75">
      <c r="A37" s="647" t="s">
        <v>432</v>
      </c>
      <c r="B37" s="648"/>
      <c r="C37" s="648"/>
      <c r="D37" s="649"/>
    </row>
    <row r="38" spans="1:5" ht="15">
      <c r="A38" s="55"/>
      <c r="B38" s="56" t="s">
        <v>212</v>
      </c>
      <c r="C38" s="56"/>
      <c r="D38" s="37"/>
    </row>
    <row r="39" spans="1:5" ht="15">
      <c r="A39" s="55"/>
      <c r="B39" s="56"/>
      <c r="C39" s="57" t="str">
        <f>IF(D39&lt;&gt;"","▪","")</f>
        <v>▪</v>
      </c>
      <c r="D39" s="37" t="s">
        <v>433</v>
      </c>
    </row>
    <row r="40" spans="1:5" ht="15">
      <c r="A40" s="55"/>
      <c r="B40" s="56" t="s">
        <v>420</v>
      </c>
      <c r="C40" s="56"/>
      <c r="D40" s="37"/>
    </row>
    <row r="41" spans="1:5" ht="15">
      <c r="A41" s="55"/>
      <c r="B41" s="56"/>
      <c r="C41" s="57" t="str">
        <f>IF(D41&lt;&gt;"","▪","")</f>
        <v>▪</v>
      </c>
      <c r="D41" s="37" t="s">
        <v>434</v>
      </c>
    </row>
    <row r="42" spans="1:5" ht="15">
      <c r="A42" s="55"/>
      <c r="B42" s="56" t="s">
        <v>421</v>
      </c>
      <c r="C42" s="56"/>
      <c r="D42" s="37"/>
      <c r="E42" s="56"/>
    </row>
    <row r="43" spans="1:5" ht="15">
      <c r="A43" s="55"/>
      <c r="B43" s="56"/>
      <c r="C43" s="57" t="str">
        <f>IF(D43&lt;&gt;"","▪","")</f>
        <v>▪</v>
      </c>
      <c r="D43" s="37" t="s">
        <v>435</v>
      </c>
    </row>
    <row r="44" spans="1:5" ht="15">
      <c r="A44" s="55"/>
      <c r="B44" s="56"/>
      <c r="C44" s="56"/>
      <c r="D44" s="56"/>
    </row>
    <row r="45" spans="1:5" ht="18.75">
      <c r="A45" s="647" t="s">
        <v>436</v>
      </c>
      <c r="B45" s="648"/>
      <c r="C45" s="648"/>
      <c r="D45" s="649"/>
    </row>
    <row r="46" spans="1:5" ht="15">
      <c r="A46" s="55"/>
      <c r="B46" s="56" t="s">
        <v>135</v>
      </c>
      <c r="C46" s="56"/>
      <c r="D46" s="37"/>
    </row>
    <row r="47" spans="1:5" ht="15">
      <c r="A47" s="55"/>
      <c r="B47" s="56"/>
      <c r="C47" s="57" t="str">
        <f>IF(D47&lt;&gt;"","▪","")</f>
        <v>▪</v>
      </c>
      <c r="D47" s="37" t="s">
        <v>437</v>
      </c>
    </row>
    <row r="48" spans="1:5" ht="15">
      <c r="A48" s="55"/>
      <c r="B48" s="56"/>
      <c r="C48" s="56"/>
      <c r="D48" s="56"/>
    </row>
    <row r="49" spans="1:4" ht="18.75">
      <c r="A49" s="647" t="s">
        <v>440</v>
      </c>
      <c r="B49" s="648"/>
      <c r="C49" s="648"/>
      <c r="D49" s="649"/>
    </row>
    <row r="50" spans="1:4" ht="15">
      <c r="A50" s="55"/>
      <c r="B50" s="56" t="s">
        <v>135</v>
      </c>
      <c r="C50" s="56"/>
      <c r="D50" s="37"/>
    </row>
    <row r="51" spans="1:4" ht="15">
      <c r="A51" s="55"/>
      <c r="B51" s="56"/>
      <c r="C51" s="57" t="str">
        <f>IF(D51&lt;&gt;"","▪","")</f>
        <v>▪</v>
      </c>
      <c r="D51" s="37" t="s">
        <v>443</v>
      </c>
    </row>
    <row r="52" spans="1:4" ht="15">
      <c r="A52" s="55"/>
      <c r="B52" s="56"/>
      <c r="C52" s="57" t="str">
        <f>IF(D52&lt;&gt;"","▪","")</f>
        <v>▪</v>
      </c>
      <c r="D52" s="37" t="s">
        <v>444</v>
      </c>
    </row>
  </sheetData>
  <sheetProtection sheet="1" objects="1" scenarios="1" autoFilter="0"/>
  <phoneticPr fontId="37" type="noConversion"/>
  <pageMargins left="0.78740157480314998" right="0.78740157480314998" top="0.78740157480314998" bottom="0.78740157480314998" header="5.7086614173228396" footer="0.59055118110236204"/>
  <pageSetup paperSize="9" firstPageNumber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Plan4">
    <pageSetUpPr fitToPage="1"/>
  </sheetPr>
  <dimension ref="A1:Z146"/>
  <sheetViews>
    <sheetView showGridLines="0" zoomScale="90" zoomScaleNormal="90" zoomScaleSheetLayoutView="100" workbookViewId="0">
      <pane ySplit="11" topLeftCell="A12" activePane="bottomLeft" state="frozen"/>
      <selection activeCell="E1" sqref="E1"/>
      <selection pane="bottomLeft" activeCell="V14" sqref="V14"/>
    </sheetView>
  </sheetViews>
  <sheetFormatPr defaultRowHeight="12.75"/>
  <cols>
    <col min="1" max="4" width="5.7109375" style="61" hidden="1" customWidth="1"/>
    <col min="5" max="5" width="11.28515625" style="61" hidden="1" customWidth="1"/>
    <col min="6" max="6" width="11.42578125" style="61" hidden="1" customWidth="1"/>
    <col min="7" max="7" width="11.85546875" style="61" hidden="1" customWidth="1"/>
    <col min="8" max="8" width="10.7109375" customWidth="1"/>
    <col min="9" max="9" width="3.7109375" customWidth="1"/>
    <col min="10" max="15" width="10.7109375" style="61" customWidth="1"/>
    <col min="16" max="16" width="12.85546875" style="61" customWidth="1"/>
    <col min="17" max="19" width="10.7109375" style="61" customWidth="1"/>
  </cols>
  <sheetData>
    <row r="1" spans="1:19" ht="15.75">
      <c r="E1" s="62" t="s">
        <v>137</v>
      </c>
      <c r="F1" s="62" t="s">
        <v>138</v>
      </c>
      <c r="G1" s="62" t="s">
        <v>139</v>
      </c>
      <c r="O1" s="63" t="str">
        <f>"Quadro de Composição do BDI"</f>
        <v>Quadro de Composição do BDI</v>
      </c>
      <c r="R1" s="678" t="s">
        <v>140</v>
      </c>
      <c r="S1" s="678"/>
    </row>
    <row r="2" spans="1:19">
      <c r="A2" s="61" t="s">
        <v>141</v>
      </c>
      <c r="B2" s="65" t="s">
        <v>142</v>
      </c>
      <c r="C2" s="61" t="str">
        <f t="shared" ref="C2:C49" si="0">CONCATENATE(A2,"-",B2)</f>
        <v>Construção e Reforma de Edifícios-AC</v>
      </c>
      <c r="E2" s="66">
        <v>0.03</v>
      </c>
      <c r="F2" s="66">
        <v>0.04</v>
      </c>
      <c r="G2" s="66">
        <v>5.5E-2</v>
      </c>
      <c r="R2" s="679" t="s">
        <v>143</v>
      </c>
      <c r="S2" s="679"/>
    </row>
    <row r="3" spans="1:19">
      <c r="A3" s="61" t="str">
        <f>A2</f>
        <v>Construção e Reforma de Edifícios</v>
      </c>
      <c r="B3" s="65" t="s">
        <v>144</v>
      </c>
      <c r="C3" s="61" t="str">
        <f t="shared" si="0"/>
        <v>Construção e Reforma de Edifícios-SG</v>
      </c>
      <c r="E3" s="66">
        <v>8.0000000000000002E-3</v>
      </c>
      <c r="F3" s="66">
        <v>8.0000000000000002E-3</v>
      </c>
      <c r="G3" s="66">
        <v>0.01</v>
      </c>
    </row>
    <row r="4" spans="1:19">
      <c r="A4" s="61" t="str">
        <f>A3</f>
        <v>Construção e Reforma de Edifícios</v>
      </c>
      <c r="B4" s="65" t="s">
        <v>145</v>
      </c>
      <c r="C4" s="61" t="str">
        <f t="shared" si="0"/>
        <v>Construção e Reforma de Edifícios-R</v>
      </c>
      <c r="E4" s="66">
        <v>9.7000000000000003E-3</v>
      </c>
      <c r="F4" s="66">
        <v>1.2699999999999999E-2</v>
      </c>
      <c r="G4" s="66">
        <v>1.2699999999999999E-2</v>
      </c>
      <c r="J4" s="680" t="s">
        <v>146</v>
      </c>
      <c r="K4" s="680"/>
      <c r="L4" s="680" t="s">
        <v>445</v>
      </c>
      <c r="M4" s="680"/>
      <c r="N4" s="680" t="s">
        <v>147</v>
      </c>
      <c r="O4" s="680"/>
      <c r="P4" s="680"/>
      <c r="Q4" s="680"/>
      <c r="R4" s="680"/>
      <c r="S4" s="680"/>
    </row>
    <row r="5" spans="1:19" ht="12.75" customHeight="1">
      <c r="A5" s="61" t="str">
        <f>A4</f>
        <v>Construção e Reforma de Edifícios</v>
      </c>
      <c r="B5" s="65" t="s">
        <v>148</v>
      </c>
      <c r="C5" s="61" t="str">
        <f t="shared" si="0"/>
        <v>Construção e Reforma de Edifícios-DF</v>
      </c>
      <c r="E5" s="66">
        <v>5.8999999999999999E-3</v>
      </c>
      <c r="F5" s="66">
        <v>1.23E-2</v>
      </c>
      <c r="G5" s="66">
        <v>1.3899999999999999E-2</v>
      </c>
      <c r="J5" s="677" t="str">
        <f>Import.CR</f>
        <v>17405-2024</v>
      </c>
      <c r="K5" s="677"/>
      <c r="L5" s="677" t="str">
        <f>Import.TransfereGOV</f>
        <v>965783/2024</v>
      </c>
      <c r="M5" s="677"/>
      <c r="N5" s="677" t="str">
        <f>Import.Proponente</f>
        <v>MUNICÍPIO DE PAINS</v>
      </c>
      <c r="O5" s="677"/>
      <c r="P5" s="677"/>
      <c r="Q5" s="677"/>
      <c r="R5" s="677"/>
      <c r="S5" s="677"/>
    </row>
    <row r="6" spans="1:19">
      <c r="A6" s="61" t="str">
        <f>A5</f>
        <v>Construção e Reforma de Edifícios</v>
      </c>
      <c r="B6" s="65" t="s">
        <v>149</v>
      </c>
      <c r="C6" s="61" t="str">
        <f t="shared" si="0"/>
        <v>Construção e Reforma de Edifícios-L</v>
      </c>
      <c r="E6" s="66">
        <v>6.1600000000000002E-2</v>
      </c>
      <c r="F6" s="66">
        <v>7.400000000000001E-2</v>
      </c>
      <c r="G6" s="66">
        <v>8.9600000000000013E-2</v>
      </c>
      <c r="I6" s="706" t="s">
        <v>209</v>
      </c>
      <c r="J6" s="69"/>
      <c r="K6" s="69"/>
      <c r="L6" s="69"/>
      <c r="M6" s="69"/>
      <c r="N6" s="69"/>
      <c r="O6" s="69"/>
      <c r="P6" s="69"/>
      <c r="Q6" s="69"/>
      <c r="R6" s="69"/>
      <c r="S6" s="69"/>
    </row>
    <row r="7" spans="1:19" ht="25.5">
      <c r="A7" s="61" t="str">
        <f>A6</f>
        <v>Construção e Reforma de Edifícios</v>
      </c>
      <c r="B7" s="70" t="s">
        <v>150</v>
      </c>
      <c r="C7" s="61" t="str">
        <f t="shared" si="0"/>
        <v>Construção e Reforma de Edifícios-BDI PAD</v>
      </c>
      <c r="E7" s="66">
        <v>0.2034</v>
      </c>
      <c r="F7" s="66">
        <v>0.22120000000000001</v>
      </c>
      <c r="G7" s="66">
        <v>0.25</v>
      </c>
      <c r="I7" s="706"/>
      <c r="J7" s="680" t="s">
        <v>151</v>
      </c>
      <c r="K7" s="680"/>
      <c r="L7" s="680"/>
      <c r="M7" s="680"/>
      <c r="N7" s="680"/>
      <c r="O7" s="680"/>
      <c r="P7" s="680"/>
      <c r="Q7" s="680"/>
      <c r="R7" s="680"/>
      <c r="S7" s="680"/>
    </row>
    <row r="8" spans="1:19">
      <c r="A8" s="61" t="s">
        <v>152</v>
      </c>
      <c r="B8" s="65" t="s">
        <v>142</v>
      </c>
      <c r="C8" s="61" t="str">
        <f t="shared" si="0"/>
        <v>Construção de Praças Urbanas, Rodovias, Ferrovias e recapeamento e pavimentação de vias urbanas-AC</v>
      </c>
      <c r="E8" s="66">
        <v>3.7999999999999999E-2</v>
      </c>
      <c r="F8" s="66">
        <v>4.0099999999999997E-2</v>
      </c>
      <c r="G8" s="66">
        <v>4.6699999999999998E-2</v>
      </c>
      <c r="I8" s="706"/>
      <c r="J8" s="683" t="str">
        <f>Import.Apelido&amp;" / "&amp;Import.DescLote</f>
        <v>RECAPEAMENTO DE VIA PÚBLICA / RECAPEAMENDO DA ESTRADA MUNICIPAL SEBASTIÃO MANECA</v>
      </c>
      <c r="K8" s="683"/>
      <c r="L8" s="683"/>
      <c r="M8" s="683"/>
      <c r="N8" s="683"/>
      <c r="O8" s="683"/>
      <c r="P8" s="683"/>
      <c r="Q8" s="683"/>
      <c r="R8" s="683"/>
      <c r="S8" s="683"/>
    </row>
    <row r="9" spans="1:19">
      <c r="A9" s="61" t="s">
        <v>152</v>
      </c>
      <c r="B9" s="65" t="s">
        <v>144</v>
      </c>
      <c r="C9" s="61" t="str">
        <f t="shared" si="0"/>
        <v>Construção de Praças Urbanas, Rodovias, Ferrovias e recapeamento e pavimentação de vias urbanas-SG</v>
      </c>
      <c r="E9" s="66">
        <v>3.2000000000000002E-3</v>
      </c>
      <c r="F9" s="66">
        <v>4.0000000000000001E-3</v>
      </c>
      <c r="G9" s="66">
        <v>7.4000000000000003E-3</v>
      </c>
      <c r="I9" s="706"/>
      <c r="J9" s="69"/>
      <c r="K9" s="69"/>
      <c r="L9" s="69"/>
      <c r="M9" s="69"/>
      <c r="N9" s="69"/>
      <c r="O9" s="69"/>
      <c r="P9" s="69"/>
      <c r="Q9" s="69"/>
      <c r="R9" s="69"/>
      <c r="S9" s="69"/>
    </row>
    <row r="10" spans="1:19" ht="12.75" customHeight="1">
      <c r="A10" s="61" t="s">
        <v>152</v>
      </c>
      <c r="B10" s="65" t="s">
        <v>145</v>
      </c>
      <c r="C10" s="61" t="str">
        <f t="shared" si="0"/>
        <v>Construção de Praças Urbanas, Rodovias, Ferrovias e recapeamento e pavimentação de vias urbanas-R</v>
      </c>
      <c r="E10" s="66">
        <v>5.0000000000000001E-3</v>
      </c>
      <c r="F10" s="66">
        <v>5.6000000000000008E-3</v>
      </c>
      <c r="G10" s="66">
        <v>9.7000000000000003E-3</v>
      </c>
      <c r="I10" s="706"/>
      <c r="J10" s="684" t="s">
        <v>153</v>
      </c>
      <c r="K10" s="684"/>
      <c r="L10" s="684"/>
      <c r="M10" s="684"/>
      <c r="N10" s="684"/>
      <c r="O10" s="684"/>
      <c r="P10" s="684"/>
      <c r="Q10" s="684"/>
      <c r="R10" s="682">
        <v>0.03</v>
      </c>
      <c r="S10" s="682"/>
    </row>
    <row r="11" spans="1:19" ht="12.75" customHeight="1">
      <c r="A11" s="61" t="s">
        <v>152</v>
      </c>
      <c r="B11" s="65" t="s">
        <v>148</v>
      </c>
      <c r="C11" s="61" t="str">
        <f t="shared" si="0"/>
        <v>Construção de Praças Urbanas, Rodovias, Ferrovias e recapeamento e pavimentação de vias urbanas-DF</v>
      </c>
      <c r="E11" s="66">
        <v>1.0200000000000001E-2</v>
      </c>
      <c r="F11" s="66">
        <v>1.11E-2</v>
      </c>
      <c r="G11" s="66">
        <v>1.21E-2</v>
      </c>
      <c r="I11" s="131" t="s">
        <v>217</v>
      </c>
      <c r="J11" s="681" t="s">
        <v>154</v>
      </c>
      <c r="K11" s="681"/>
      <c r="L11" s="681"/>
      <c r="M11" s="681"/>
      <c r="N11" s="681"/>
      <c r="O11" s="681"/>
      <c r="P11" s="681"/>
      <c r="Q11" s="681"/>
      <c r="R11" s="682">
        <v>4.65E-2</v>
      </c>
      <c r="S11" s="682"/>
    </row>
    <row r="12" spans="1:19">
      <c r="A12" s="61" t="s">
        <v>152</v>
      </c>
      <c r="B12" s="65" t="s">
        <v>149</v>
      </c>
      <c r="C12" s="61" t="str">
        <f t="shared" si="0"/>
        <v>Construção de Praças Urbanas, Rodovias, Ferrovias e recapeamento e pavimentação de vias urbanas-L</v>
      </c>
      <c r="E12" s="66">
        <v>6.6400000000000001E-2</v>
      </c>
      <c r="F12" s="66">
        <v>7.2999999999999995E-2</v>
      </c>
      <c r="G12" s="66">
        <v>8.6899999999999991E-2</v>
      </c>
      <c r="I12" t="s">
        <v>246</v>
      </c>
      <c r="J12" s="71"/>
      <c r="K12" s="71"/>
      <c r="L12" s="71"/>
      <c r="M12" s="71"/>
      <c r="N12" s="71"/>
      <c r="O12" s="71"/>
      <c r="P12" s="71"/>
      <c r="Q12" s="71"/>
      <c r="R12" s="71"/>
      <c r="S12" s="71"/>
    </row>
    <row r="13" spans="1:19" ht="25.5">
      <c r="A13" s="61" t="s">
        <v>152</v>
      </c>
      <c r="B13" s="70" t="s">
        <v>150</v>
      </c>
      <c r="C13" s="61" t="str">
        <f t="shared" si="0"/>
        <v>Construção de Praças Urbanas, Rodovias, Ferrovias e recapeamento e pavimentação de vias urbanas-BDI PAD</v>
      </c>
      <c r="E13" s="66">
        <v>0.19600000000000001</v>
      </c>
      <c r="F13" s="66">
        <v>0.2097</v>
      </c>
      <c r="G13" s="66">
        <v>0.24230000000000002</v>
      </c>
      <c r="I13" t="s">
        <v>246</v>
      </c>
    </row>
    <row r="14" spans="1:19" ht="15.75">
      <c r="A14" s="61" t="s">
        <v>155</v>
      </c>
      <c r="B14" s="65" t="s">
        <v>142</v>
      </c>
      <c r="C14" s="61" t="str">
        <f t="shared" si="0"/>
        <v>Construção de Redes de Abastecimento de Água, Coleta de Esgoto-AC</v>
      </c>
      <c r="E14" s="66">
        <v>3.4300000000000004E-2</v>
      </c>
      <c r="F14" s="66">
        <v>4.9299999999999997E-2</v>
      </c>
      <c r="G14" s="66">
        <v>6.7099999999999993E-2</v>
      </c>
      <c r="I14" t="s">
        <v>246</v>
      </c>
      <c r="J14" s="689" t="s">
        <v>156</v>
      </c>
      <c r="K14" s="689"/>
      <c r="L14" s="689"/>
      <c r="M14" s="689"/>
      <c r="N14" s="689"/>
      <c r="O14" s="689"/>
      <c r="P14" s="689"/>
      <c r="Q14" s="689"/>
      <c r="R14" s="689"/>
      <c r="S14" s="689"/>
    </row>
    <row r="15" spans="1:19">
      <c r="A15" s="61" t="str">
        <f>A14</f>
        <v>Construção de Redes de Abastecimento de Água, Coleta de Esgoto</v>
      </c>
      <c r="B15" s="65" t="s">
        <v>144</v>
      </c>
      <c r="C15" s="61" t="str">
        <f t="shared" si="0"/>
        <v>Construção de Redes de Abastecimento de Água, Coleta de Esgoto-SG</v>
      </c>
      <c r="E15" s="66">
        <v>2.8000000000000004E-3</v>
      </c>
      <c r="F15" s="66">
        <v>4.8999999999999998E-3</v>
      </c>
      <c r="G15" s="66">
        <v>7.4999999999999997E-3</v>
      </c>
      <c r="I15" t="s">
        <v>246</v>
      </c>
    </row>
    <row r="16" spans="1:19">
      <c r="A16" s="61" t="str">
        <f>A15</f>
        <v>Construção de Redes de Abastecimento de Água, Coleta de Esgoto</v>
      </c>
      <c r="B16" s="65" t="s">
        <v>145</v>
      </c>
      <c r="C16" s="61" t="str">
        <f t="shared" si="0"/>
        <v>Construção de Redes de Abastecimento de Água, Coleta de Esgoto-R</v>
      </c>
      <c r="E16" s="66">
        <v>0.01</v>
      </c>
      <c r="F16" s="66">
        <v>1.3899999999999999E-2</v>
      </c>
      <c r="G16" s="66">
        <v>1.7399999999999999E-2</v>
      </c>
      <c r="I16" t="s">
        <v>246</v>
      </c>
      <c r="J16" s="680" t="s">
        <v>157</v>
      </c>
      <c r="K16" s="680"/>
      <c r="L16" s="680"/>
      <c r="M16" s="680"/>
      <c r="N16" s="680"/>
      <c r="O16" s="680"/>
      <c r="P16" s="680"/>
      <c r="Q16" s="680"/>
      <c r="R16" s="680"/>
      <c r="S16" s="680"/>
    </row>
    <row r="17" spans="1:26">
      <c r="A17" s="61" t="str">
        <f>A16</f>
        <v>Construção de Redes de Abastecimento de Água, Coleta de Esgoto</v>
      </c>
      <c r="B17" s="65" t="s">
        <v>148</v>
      </c>
      <c r="C17" s="61" t="str">
        <f t="shared" si="0"/>
        <v>Construção de Redes de Abastecimento de Água, Coleta de Esgoto-DF</v>
      </c>
      <c r="E17" s="66">
        <v>9.3999999999999986E-3</v>
      </c>
      <c r="F17" s="66">
        <v>9.8999999999999991E-3</v>
      </c>
      <c r="G17" s="66">
        <v>1.1699999999999999E-2</v>
      </c>
      <c r="I17" t="s">
        <v>246</v>
      </c>
      <c r="J17" s="686" t="s">
        <v>152</v>
      </c>
      <c r="K17" s="686"/>
      <c r="L17" s="686"/>
      <c r="M17" s="686"/>
      <c r="N17" s="686"/>
      <c r="O17" s="686"/>
      <c r="P17" s="686"/>
      <c r="Q17" s="686"/>
      <c r="R17" s="686"/>
      <c r="S17" s="686"/>
    </row>
    <row r="18" spans="1:26">
      <c r="A18" s="61" t="str">
        <f>A17</f>
        <v>Construção de Redes de Abastecimento de Água, Coleta de Esgoto</v>
      </c>
      <c r="B18" s="65" t="s">
        <v>149</v>
      </c>
      <c r="C18" s="61" t="str">
        <f t="shared" si="0"/>
        <v>Construção de Redes de Abastecimento de Água, Coleta de Esgoto-L</v>
      </c>
      <c r="E18" s="66">
        <v>6.7400000000000002E-2</v>
      </c>
      <c r="F18" s="66">
        <v>8.0399999999999985E-2</v>
      </c>
      <c r="G18" s="66">
        <v>9.4E-2</v>
      </c>
      <c r="I18" t="s">
        <v>246</v>
      </c>
    </row>
    <row r="19" spans="1:26" ht="12.75" customHeight="1">
      <c r="A19" s="61" t="str">
        <f>A18</f>
        <v>Construção de Redes de Abastecimento de Água, Coleta de Esgoto</v>
      </c>
      <c r="B19" s="70" t="s">
        <v>150</v>
      </c>
      <c r="C19" s="61" t="str">
        <f t="shared" si="0"/>
        <v>Construção de Redes de Abastecimento de Água, Coleta de Esgoto-BDI PAD</v>
      </c>
      <c r="E19" s="66">
        <v>0.20760000000000001</v>
      </c>
      <c r="F19" s="66">
        <v>0.24179999999999999</v>
      </c>
      <c r="G19" s="66">
        <v>0.26440000000000002</v>
      </c>
      <c r="I19" t="s">
        <v>246</v>
      </c>
      <c r="J19" s="688" t="s">
        <v>158</v>
      </c>
      <c r="K19" s="688"/>
      <c r="L19" s="688"/>
      <c r="M19" s="688"/>
      <c r="N19" s="688"/>
      <c r="O19" s="688"/>
      <c r="P19" s="688"/>
      <c r="Q19" s="688"/>
      <c r="R19" s="688" t="s">
        <v>159</v>
      </c>
      <c r="S19" s="687" t="s">
        <v>160</v>
      </c>
      <c r="U19" s="687" t="s">
        <v>161</v>
      </c>
      <c r="V19" s="687"/>
      <c r="W19" s="687"/>
      <c r="X19" s="685" t="s">
        <v>162</v>
      </c>
      <c r="Y19" s="685" t="s">
        <v>163</v>
      </c>
      <c r="Z19" s="685" t="s">
        <v>164</v>
      </c>
    </row>
    <row r="20" spans="1:26" ht="12.75" customHeight="1">
      <c r="A20" s="61" t="s">
        <v>165</v>
      </c>
      <c r="B20" s="65" t="s">
        <v>142</v>
      </c>
      <c r="C20" s="61" t="str">
        <f t="shared" si="0"/>
        <v>Construção e Manutenção de Estações e Redes de Distribuição de Energia Elétrica-AC</v>
      </c>
      <c r="E20" s="66">
        <v>5.2900000000000003E-2</v>
      </c>
      <c r="F20" s="66">
        <v>5.9200000000000003E-2</v>
      </c>
      <c r="G20" s="66">
        <v>7.9299999999999995E-2</v>
      </c>
      <c r="I20" t="s">
        <v>246</v>
      </c>
      <c r="J20" s="688"/>
      <c r="K20" s="688"/>
      <c r="L20" s="688"/>
      <c r="M20" s="688"/>
      <c r="N20" s="688"/>
      <c r="O20" s="688"/>
      <c r="P20" s="688"/>
      <c r="Q20" s="688"/>
      <c r="R20" s="688"/>
      <c r="S20" s="687"/>
      <c r="U20" s="687"/>
      <c r="V20" s="687"/>
      <c r="W20" s="687"/>
      <c r="X20" s="685"/>
      <c r="Y20" s="685"/>
      <c r="Z20" s="685"/>
    </row>
    <row r="21" spans="1:26" ht="15" customHeight="1">
      <c r="A21" s="61" t="str">
        <f>A20</f>
        <v>Construção e Manutenção de Estações e Redes de Distribuição de Energia Elétrica</v>
      </c>
      <c r="B21" s="65" t="s">
        <v>144</v>
      </c>
      <c r="C21" s="61" t="str">
        <f t="shared" si="0"/>
        <v>Construção e Manutenção de Estações e Redes de Distribuição de Energia Elétrica-SG</v>
      </c>
      <c r="E21" s="66">
        <v>2.5000000000000001E-3</v>
      </c>
      <c r="F21" s="66">
        <v>5.1000000000000004E-3</v>
      </c>
      <c r="G21" s="66">
        <v>5.6000000000000008E-3</v>
      </c>
      <c r="I21" t="s">
        <v>246</v>
      </c>
      <c r="J21" s="690" t="str">
        <f>IF($J$17=$A$146,"Encargos Sociais incidentes sobre a mão de obra","Administração Central")</f>
        <v>Administração Central</v>
      </c>
      <c r="K21" s="690"/>
      <c r="L21" s="690"/>
      <c r="M21" s="690"/>
      <c r="N21" s="690"/>
      <c r="O21" s="690"/>
      <c r="P21" s="690"/>
      <c r="Q21" s="690"/>
      <c r="R21" s="72" t="str">
        <f>IF($J17=$A$146,"K1","AC")</f>
        <v>AC</v>
      </c>
      <c r="S21" s="73">
        <v>4.6699999999999998E-2</v>
      </c>
      <c r="U21" s="691" t="s">
        <v>166</v>
      </c>
      <c r="V21" s="691"/>
      <c r="W21" s="691"/>
      <c r="X21" s="74">
        <f>VLOOKUP(CONCATENATE(J17,"-",R21),$C$2:$G$136,3,FALSE)</f>
        <v>3.7999999999999999E-2</v>
      </c>
      <c r="Y21" s="74">
        <f>VLOOKUP(CONCATENATE(J17,"-",R21),$C$2:$G$136,4,FALSE)</f>
        <v>4.0099999999999997E-2</v>
      </c>
      <c r="Z21" s="74">
        <f>VLOOKUP(CONCATENATE(J17,"-",R21),$C$2:$G$136,5,FALSE)</f>
        <v>4.6699999999999998E-2</v>
      </c>
    </row>
    <row r="22" spans="1:26" ht="15" customHeight="1">
      <c r="A22" s="61" t="str">
        <f>A21</f>
        <v>Construção e Manutenção de Estações e Redes de Distribuição de Energia Elétrica</v>
      </c>
      <c r="B22" s="65" t="s">
        <v>145</v>
      </c>
      <c r="C22" s="61" t="str">
        <f t="shared" si="0"/>
        <v>Construção e Manutenção de Estações e Redes de Distribuição de Energia Elétrica-R</v>
      </c>
      <c r="E22" s="66">
        <v>0.01</v>
      </c>
      <c r="F22" s="66">
        <v>1.4800000000000001E-2</v>
      </c>
      <c r="G22" s="66">
        <v>1.9699999999999999E-2</v>
      </c>
      <c r="I22" t="s">
        <v>246</v>
      </c>
      <c r="J22" s="690" t="str">
        <f>IF($J$17=$A$146,"Administração Central da empresa ou consultoria - overhead","Seguro e Garantia")</f>
        <v>Seguro e Garantia</v>
      </c>
      <c r="K22" s="690"/>
      <c r="L22" s="690"/>
      <c r="M22" s="690"/>
      <c r="N22" s="690"/>
      <c r="O22" s="690"/>
      <c r="P22" s="690"/>
      <c r="Q22" s="690"/>
      <c r="R22" s="72" t="str">
        <f>IF($J17=$A$146,"K2","SG")</f>
        <v>SG</v>
      </c>
      <c r="S22" s="73">
        <v>7.4000000000000003E-3</v>
      </c>
      <c r="U22" s="691" t="s">
        <v>166</v>
      </c>
      <c r="V22" s="691"/>
      <c r="W22" s="691"/>
      <c r="X22" s="74">
        <f>VLOOKUP(CONCATENATE(J17,"-",R22),$C$2:$G$136,3,FALSE)</f>
        <v>3.2000000000000002E-3</v>
      </c>
      <c r="Y22" s="74">
        <f>VLOOKUP(CONCATENATE(J17,"-",R22),$C$2:$G$136,4,FALSE)</f>
        <v>4.0000000000000001E-3</v>
      </c>
      <c r="Z22" s="74">
        <f>VLOOKUP(CONCATENATE(J17,"-",R22),$C$2:$G$136,5,FALSE)</f>
        <v>7.4000000000000003E-3</v>
      </c>
    </row>
    <row r="23" spans="1:26" ht="15" customHeight="1">
      <c r="A23" s="61" t="str">
        <f>A22</f>
        <v>Construção e Manutenção de Estações e Redes de Distribuição de Energia Elétrica</v>
      </c>
      <c r="B23" s="65" t="s">
        <v>148</v>
      </c>
      <c r="C23" s="61" t="str">
        <f t="shared" si="0"/>
        <v>Construção e Manutenção de Estações e Redes de Distribuição de Energia Elétrica-DF</v>
      </c>
      <c r="E23" s="66">
        <v>1.01E-2</v>
      </c>
      <c r="F23" s="66">
        <v>1.0700000000000001E-2</v>
      </c>
      <c r="G23" s="66">
        <v>1.11E-2</v>
      </c>
      <c r="I23" t="s">
        <v>246</v>
      </c>
      <c r="J23" s="690" t="str">
        <f>IF($J$17=$A$146,"","Risco")</f>
        <v>Risco</v>
      </c>
      <c r="K23" s="690"/>
      <c r="L23" s="690"/>
      <c r="M23" s="690"/>
      <c r="N23" s="690"/>
      <c r="O23" s="690"/>
      <c r="P23" s="690"/>
      <c r="Q23" s="690"/>
      <c r="R23" s="72" t="str">
        <f>IF($J17=$A$146,"","R")</f>
        <v>R</v>
      </c>
      <c r="S23" s="73">
        <v>9.7000000000000003E-3</v>
      </c>
      <c r="U23" s="691" t="s">
        <v>166</v>
      </c>
      <c r="V23" s="691"/>
      <c r="W23" s="691"/>
      <c r="X23" s="74">
        <f>VLOOKUP(CONCATENATE(J17,"-",R23),$C$2:$G$136,3,FALSE)</f>
        <v>5.0000000000000001E-3</v>
      </c>
      <c r="Y23" s="74">
        <f>VLOOKUP(CONCATENATE(J17,"-",R23),$C$2:$G$136,4,FALSE)</f>
        <v>5.6000000000000008E-3</v>
      </c>
      <c r="Z23" s="74">
        <f>VLOOKUP(CONCATENATE(J17,"-",R23),$C$2:$G$136,5,FALSE)</f>
        <v>9.7000000000000003E-3</v>
      </c>
    </row>
    <row r="24" spans="1:26" ht="15" customHeight="1">
      <c r="A24" s="61" t="str">
        <f>A23</f>
        <v>Construção e Manutenção de Estações e Redes de Distribuição de Energia Elétrica</v>
      </c>
      <c r="B24" s="65" t="s">
        <v>149</v>
      </c>
      <c r="C24" s="61" t="str">
        <f t="shared" si="0"/>
        <v>Construção e Manutenção de Estações e Redes de Distribuição de Energia Elétrica-L</v>
      </c>
      <c r="E24" s="66">
        <v>0.08</v>
      </c>
      <c r="F24" s="66">
        <v>8.3100000000000007E-2</v>
      </c>
      <c r="G24" s="66">
        <v>9.5100000000000004E-2</v>
      </c>
      <c r="I24" t="s">
        <v>246</v>
      </c>
      <c r="J24" s="690" t="str">
        <f>IF($J$17=$A$146,"","Despesas Financeiras")</f>
        <v>Despesas Financeiras</v>
      </c>
      <c r="K24" s="690"/>
      <c r="L24" s="690"/>
      <c r="M24" s="690"/>
      <c r="N24" s="690"/>
      <c r="O24" s="690"/>
      <c r="P24" s="690"/>
      <c r="Q24" s="690"/>
      <c r="R24" s="72" t="str">
        <f>IF($J17=$A$146,"","DF")</f>
        <v>DF</v>
      </c>
      <c r="S24" s="73">
        <v>7.6E-3</v>
      </c>
      <c r="U24" s="691" t="s">
        <v>166</v>
      </c>
      <c r="V24" s="691"/>
      <c r="W24" s="691"/>
      <c r="X24" s="74">
        <f>VLOOKUP(CONCATENATE(J17,"-",R24),$C$2:$G$136,3,FALSE)</f>
        <v>1.0200000000000001E-2</v>
      </c>
      <c r="Y24" s="74">
        <f>VLOOKUP(CONCATENATE(J17,"-",R24),$C$2:$G$136,4,FALSE)</f>
        <v>1.11E-2</v>
      </c>
      <c r="Z24" s="74">
        <f>VLOOKUP(CONCATENATE(J17,"-",R24),$C$2:$G$136,5,FALSE)</f>
        <v>1.21E-2</v>
      </c>
    </row>
    <row r="25" spans="1:26" ht="15" customHeight="1">
      <c r="A25" s="61" t="str">
        <f>A24</f>
        <v>Construção e Manutenção de Estações e Redes de Distribuição de Energia Elétrica</v>
      </c>
      <c r="B25" s="70" t="s">
        <v>150</v>
      </c>
      <c r="C25" s="61" t="str">
        <f t="shared" si="0"/>
        <v>Construção e Manutenção de Estações e Redes de Distribuição de Energia Elétrica-BDI PAD</v>
      </c>
      <c r="E25" s="66">
        <v>0.24</v>
      </c>
      <c r="F25" s="66">
        <v>0.25840000000000002</v>
      </c>
      <c r="G25" s="66">
        <v>0.27860000000000001</v>
      </c>
      <c r="I25" t="s">
        <v>246</v>
      </c>
      <c r="J25" s="690" t="str">
        <f>IF($J$17=$A$146,"Margem bruta da empresa de consultoria","Lucro")</f>
        <v>Lucro</v>
      </c>
      <c r="K25" s="690"/>
      <c r="L25" s="690"/>
      <c r="M25" s="690"/>
      <c r="N25" s="690"/>
      <c r="O25" s="690"/>
      <c r="P25" s="690"/>
      <c r="Q25" s="690"/>
      <c r="R25" s="72" t="str">
        <f>IF($J17=$A$146,"K3","L")</f>
        <v>L</v>
      </c>
      <c r="S25" s="73">
        <v>7.5300000000000006E-2</v>
      </c>
      <c r="U25" s="691" t="s">
        <v>166</v>
      </c>
      <c r="V25" s="691"/>
      <c r="W25" s="691"/>
      <c r="X25" s="74">
        <f>VLOOKUP(CONCATENATE(J17,"-",R25),$C$2:$G$136,3,FALSE)</f>
        <v>6.6400000000000001E-2</v>
      </c>
      <c r="Y25" s="74">
        <f>VLOOKUP(CONCATENATE(J17,"-",R25),$C$2:$G$136,4,FALSE)</f>
        <v>7.2999999999999995E-2</v>
      </c>
      <c r="Z25" s="74">
        <f>VLOOKUP(CONCATENATE(J17,"-",R25),$C$2:$G$136,5,FALSE)</f>
        <v>8.6899999999999991E-2</v>
      </c>
    </row>
    <row r="26" spans="1:26" ht="15" customHeight="1">
      <c r="A26" s="61" t="s">
        <v>167</v>
      </c>
      <c r="B26" s="65" t="s">
        <v>142</v>
      </c>
      <c r="C26" s="61" t="str">
        <f t="shared" si="0"/>
        <v>Obras Portuárias, Marítimas e Fluviais-AC</v>
      </c>
      <c r="E26" s="66">
        <v>0.04</v>
      </c>
      <c r="F26" s="66">
        <v>5.5199999999999999E-2</v>
      </c>
      <c r="G26" s="66">
        <v>7.85E-2</v>
      </c>
      <c r="I26" t="s">
        <v>246</v>
      </c>
      <c r="J26" s="690" t="s">
        <v>168</v>
      </c>
      <c r="K26" s="690"/>
      <c r="L26" s="690"/>
      <c r="M26" s="690"/>
      <c r="N26" s="690"/>
      <c r="O26" s="690"/>
      <c r="P26" s="690"/>
      <c r="Q26" s="690"/>
      <c r="R26" s="72" t="s">
        <v>169</v>
      </c>
      <c r="S26" s="73">
        <v>3.6499999999999998E-2</v>
      </c>
      <c r="U26" s="691" t="s">
        <v>166</v>
      </c>
      <c r="V26" s="691"/>
      <c r="W26" s="691"/>
      <c r="X26" s="74">
        <v>3.6499999999999998E-2</v>
      </c>
      <c r="Y26" s="74">
        <v>3.6499999999999998E-2</v>
      </c>
      <c r="Z26" s="74">
        <v>3.6499999999999998E-2</v>
      </c>
    </row>
    <row r="27" spans="1:26" ht="15" customHeight="1">
      <c r="A27" s="61" t="str">
        <f>A26</f>
        <v>Obras Portuárias, Marítimas e Fluviais</v>
      </c>
      <c r="B27" s="65" t="s">
        <v>144</v>
      </c>
      <c r="C27" s="61" t="str">
        <f t="shared" si="0"/>
        <v>Obras Portuárias, Marítimas e Fluviais-SG</v>
      </c>
      <c r="E27" s="66">
        <v>8.1000000000000013E-3</v>
      </c>
      <c r="F27" s="66">
        <v>1.2199999999999999E-2</v>
      </c>
      <c r="G27" s="66">
        <v>1.9900000000000001E-2</v>
      </c>
      <c r="I27" t="s">
        <v>246</v>
      </c>
      <c r="J27" s="690" t="s">
        <v>170</v>
      </c>
      <c r="K27" s="690"/>
      <c r="L27" s="690"/>
      <c r="M27" s="690"/>
      <c r="N27" s="690"/>
      <c r="O27" s="690"/>
      <c r="P27" s="690"/>
      <c r="Q27" s="690"/>
      <c r="R27" s="72" t="s">
        <v>171</v>
      </c>
      <c r="S27" s="74">
        <f ca="1">IF(AND($J17&lt;&gt;$A$145,COUNTA(OFFSET(S20,1,0,6))&gt;0),$R$11*$R$10,0)</f>
        <v>1.395E-3</v>
      </c>
      <c r="U27" s="691" t="s">
        <v>166</v>
      </c>
      <c r="V27" s="691"/>
      <c r="W27" s="691"/>
      <c r="X27" s="74">
        <v>0</v>
      </c>
      <c r="Y27" s="74">
        <v>2.5000000000000001E-2</v>
      </c>
      <c r="Z27" s="74">
        <v>0.05</v>
      </c>
    </row>
    <row r="28" spans="1:26" ht="15" customHeight="1">
      <c r="A28" s="61" t="str">
        <f>A27</f>
        <v>Obras Portuárias, Marítimas e Fluviais</v>
      </c>
      <c r="B28" s="65" t="s">
        <v>145</v>
      </c>
      <c r="C28" s="61" t="str">
        <f t="shared" si="0"/>
        <v>Obras Portuárias, Marítimas e Fluviais-R</v>
      </c>
      <c r="E28" s="66">
        <v>1.46E-2</v>
      </c>
      <c r="F28" s="66">
        <v>2.3199999999999998E-2</v>
      </c>
      <c r="G28" s="66">
        <v>3.1600000000000003E-2</v>
      </c>
      <c r="I28" t="s">
        <v>246</v>
      </c>
      <c r="J28" s="690" t="s">
        <v>172</v>
      </c>
      <c r="K28" s="690"/>
      <c r="L28" s="690"/>
      <c r="M28" s="690"/>
      <c r="N28" s="690"/>
      <c r="O28" s="690"/>
      <c r="P28" s="690"/>
      <c r="Q28" s="690"/>
      <c r="R28" s="72" t="s">
        <v>173</v>
      </c>
      <c r="S28" s="74">
        <f ca="1">IF(BDI.Opcao&lt;&gt;"Desonerado",0,IF(AND($J17&lt;&gt;$A$145,COUNTA(OFFSET(S20,1,0,6))&gt;0),4.5%,0%))</f>
        <v>4.4999999999999998E-2</v>
      </c>
      <c r="U28" s="691" t="s">
        <v>166</v>
      </c>
      <c r="V28" s="691"/>
      <c r="W28" s="691"/>
      <c r="X28" s="75">
        <v>0</v>
      </c>
      <c r="Y28" s="75">
        <v>4.4999999999999998E-2</v>
      </c>
      <c r="Z28" s="75">
        <v>4.4999999999999998E-2</v>
      </c>
    </row>
    <row r="29" spans="1:26" ht="15" customHeight="1">
      <c r="A29" s="61" t="str">
        <f>A28</f>
        <v>Obras Portuárias, Marítimas e Fluviais</v>
      </c>
      <c r="B29" s="65" t="s">
        <v>148</v>
      </c>
      <c r="C29" s="61" t="str">
        <f t="shared" si="0"/>
        <v>Obras Portuárias, Marítimas e Fluviais-DF</v>
      </c>
      <c r="E29" s="66">
        <v>9.3999999999999986E-3</v>
      </c>
      <c r="F29" s="66">
        <v>1.0200000000000001E-2</v>
      </c>
      <c r="G29" s="66">
        <v>1.3300000000000001E-2</v>
      </c>
      <c r="I29" t="s">
        <v>246</v>
      </c>
      <c r="J29" s="690" t="s">
        <v>174</v>
      </c>
      <c r="K29" s="690"/>
      <c r="L29" s="690"/>
      <c r="M29" s="690"/>
      <c r="N29" s="690"/>
      <c r="O29" s="690"/>
      <c r="P29" s="690"/>
      <c r="Q29" s="690"/>
      <c r="R29" s="76" t="s">
        <v>150</v>
      </c>
      <c r="S29" s="74">
        <f ca="1">IF($J17=$A$145,0,ROUND((((1+S21+S22+S23)*(1+S24)*(1+S25)/(1-(S26+S27)))-1),4))</f>
        <v>0.19800000000000001</v>
      </c>
      <c r="U29" s="687" t="str">
        <f ca="1">IF(OR($J$17=$A$146,$J$17=$A$145,AND(S29&gt;=X29,S29&lt;=Z29)),"OK","FORA DO INTERVALO")</f>
        <v>OK</v>
      </c>
      <c r="V29" s="687"/>
      <c r="W29" s="687"/>
      <c r="X29" s="74">
        <f>IF($J17=$A$145,0,VLOOKUP(CONCATENATE($J17,"-",$R29),$C$2:$G$136,3,FALSE))</f>
        <v>0.19600000000000001</v>
      </c>
      <c r="Y29" s="74">
        <f>IF($J17=$A$145,0,VLOOKUP(CONCATENATE($J17,"-",$R29),$C$2:$G$136,4,FALSE))</f>
        <v>0.2097</v>
      </c>
      <c r="Z29" s="74">
        <f>IF($J17=$A$145,0,VLOOKUP(CONCATENATE($J17,"-",$R29),$C$2:$G$136,5,FALSE))</f>
        <v>0.24230000000000002</v>
      </c>
    </row>
    <row r="30" spans="1:26" ht="15" customHeight="1">
      <c r="A30" s="61" t="str">
        <f>A29</f>
        <v>Obras Portuárias, Marítimas e Fluviais</v>
      </c>
      <c r="B30" s="65" t="s">
        <v>149</v>
      </c>
      <c r="C30" s="61" t="str">
        <f t="shared" si="0"/>
        <v>Obras Portuárias, Marítimas e Fluviais-L</v>
      </c>
      <c r="E30" s="66">
        <v>7.1399999999999991E-2</v>
      </c>
      <c r="F30" s="66">
        <v>8.4000000000000005E-2</v>
      </c>
      <c r="G30" s="66">
        <v>0.1043</v>
      </c>
      <c r="I30" t="s">
        <v>246</v>
      </c>
      <c r="J30" s="694" t="s">
        <v>175</v>
      </c>
      <c r="K30" s="694"/>
      <c r="L30" s="694"/>
      <c r="M30" s="694"/>
      <c r="N30" s="694"/>
      <c r="O30" s="694"/>
      <c r="P30" s="694"/>
      <c r="Q30" s="694"/>
      <c r="R30" s="77" t="s">
        <v>176</v>
      </c>
      <c r="S30" s="78">
        <f ca="1">IF($J17=$A$145,0,ROUND((((1+S21+S22+S23)*(1+S24)*(1+S25)/(1-(S26+S27+S28)))-1),4))</f>
        <v>0.25679999999999997</v>
      </c>
    </row>
    <row r="31" spans="1:26" ht="25.5">
      <c r="A31" s="61" t="str">
        <f>A30</f>
        <v>Obras Portuárias, Marítimas e Fluviais</v>
      </c>
      <c r="B31" s="70" t="s">
        <v>150</v>
      </c>
      <c r="C31" s="61" t="str">
        <f t="shared" si="0"/>
        <v>Obras Portuárias, Marítimas e Fluviais-BDI PAD</v>
      </c>
      <c r="E31" s="66">
        <v>0.22800000000000001</v>
      </c>
      <c r="F31" s="66">
        <v>0.27479999999999999</v>
      </c>
      <c r="G31" s="66">
        <v>0.3095</v>
      </c>
      <c r="I31" t="s">
        <v>246</v>
      </c>
    </row>
    <row r="32" spans="1:26" ht="15.75">
      <c r="A32" s="61" t="s">
        <v>177</v>
      </c>
      <c r="B32" s="65" t="s">
        <v>142</v>
      </c>
      <c r="C32" s="61" t="str">
        <f t="shared" si="0"/>
        <v>Fornecimento de Materiais e Equipamentos (aquisição indireta - em conjunto com licitação de obras)-AC</v>
      </c>
      <c r="E32" s="66">
        <v>1.4999999999999999E-2</v>
      </c>
      <c r="F32" s="66">
        <v>3.4500000000000003E-2</v>
      </c>
      <c r="G32" s="66">
        <v>4.4900000000000002E-2</v>
      </c>
      <c r="I32" t="s">
        <v>246</v>
      </c>
      <c r="J32" s="79" t="str">
        <f ca="1">IF(U29&lt;&gt;"ok","X","")</f>
        <v/>
      </c>
      <c r="K32" s="695" t="str">
        <f ca="1">IF(U29&lt;&gt;"ok","Anexo: Relatório Técnico Circunstanciado justificando a adoção do percentual de cada parcela do BDI.","")</f>
        <v/>
      </c>
      <c r="L32" s="695"/>
      <c r="M32" s="695"/>
      <c r="N32" s="695"/>
      <c r="O32" s="695"/>
      <c r="P32" s="695"/>
      <c r="Q32" s="695"/>
      <c r="R32" s="695"/>
      <c r="S32" s="695"/>
    </row>
    <row r="33" spans="1:19">
      <c r="A33" s="61" t="str">
        <f>A32</f>
        <v>Fornecimento de Materiais e Equipamentos (aquisição indireta - em conjunto com licitação de obras)</v>
      </c>
      <c r="B33" s="65" t="s">
        <v>144</v>
      </c>
      <c r="C33" s="61" t="str">
        <f t="shared" si="0"/>
        <v>Fornecimento de Materiais e Equipamentos (aquisição indireta - em conjunto com licitação de obras)-SG</v>
      </c>
      <c r="E33" s="66">
        <v>3.0000000000000001E-3</v>
      </c>
      <c r="F33" s="66">
        <v>4.7999999999999996E-3</v>
      </c>
      <c r="G33" s="66">
        <v>8.199999999999999E-3</v>
      </c>
      <c r="I33" t="s">
        <v>246</v>
      </c>
    </row>
    <row r="34" spans="1:19">
      <c r="A34" s="61" t="str">
        <f>A33</f>
        <v>Fornecimento de Materiais e Equipamentos (aquisição indireta - em conjunto com licitação de obras)</v>
      </c>
      <c r="B34" s="65" t="s">
        <v>145</v>
      </c>
      <c r="C34" s="61" t="str">
        <f t="shared" si="0"/>
        <v>Fornecimento de Materiais e Equipamentos (aquisição indireta - em conjunto com licitação de obras)-R</v>
      </c>
      <c r="E34" s="66">
        <v>5.6000000000000008E-3</v>
      </c>
      <c r="F34" s="66">
        <v>8.5000000000000006E-3</v>
      </c>
      <c r="G34" s="66">
        <v>8.8999999999999999E-3</v>
      </c>
      <c r="I34" t="s">
        <v>246</v>
      </c>
      <c r="J34" s="696" t="s">
        <v>178</v>
      </c>
      <c r="K34" s="696"/>
      <c r="L34" s="696"/>
      <c r="M34" s="696"/>
      <c r="N34" s="696"/>
      <c r="O34" s="696"/>
      <c r="P34" s="696"/>
      <c r="Q34" s="696"/>
      <c r="R34" s="696"/>
      <c r="S34" s="696"/>
    </row>
    <row r="35" spans="1:19" ht="15.75">
      <c r="A35" s="61" t="str">
        <f>A34</f>
        <v>Fornecimento de Materiais e Equipamentos (aquisição indireta - em conjunto com licitação de obras)</v>
      </c>
      <c r="B35" s="65" t="s">
        <v>148</v>
      </c>
      <c r="C35" s="61" t="str">
        <f t="shared" si="0"/>
        <v>Fornecimento de Materiais e Equipamentos (aquisição indireta - em conjunto com licitação de obras)-DF</v>
      </c>
      <c r="E35" s="66">
        <v>8.5000000000000006E-3</v>
      </c>
      <c r="F35" s="66">
        <v>8.5000000000000006E-3</v>
      </c>
      <c r="G35" s="66">
        <v>1.11E-2</v>
      </c>
      <c r="I35" t="s">
        <v>246</v>
      </c>
      <c r="J35" s="80"/>
      <c r="K35" s="80"/>
      <c r="L35" s="80"/>
      <c r="M35" s="697" t="s">
        <v>179</v>
      </c>
      <c r="N35" s="703" t="str">
        <f>IF($J17=$A$146,"(1+K1+K2)*(1+K3)","(1+AC + S + R + G)*(1 + DF)*(1+L)")</f>
        <v>(1+AC + S + R + G)*(1 + DF)*(1+L)</v>
      </c>
      <c r="O35" s="703"/>
      <c r="P35" s="703"/>
      <c r="Q35" s="704" t="s">
        <v>180</v>
      </c>
      <c r="R35" s="80"/>
      <c r="S35" s="80"/>
    </row>
    <row r="36" spans="1:19" ht="15.75">
      <c r="A36" s="61" t="str">
        <f>A35</f>
        <v>Fornecimento de Materiais e Equipamentos (aquisição indireta - em conjunto com licitação de obras)</v>
      </c>
      <c r="B36" s="65" t="s">
        <v>149</v>
      </c>
      <c r="C36" s="61" t="str">
        <f t="shared" si="0"/>
        <v>Fornecimento de Materiais e Equipamentos (aquisição indireta - em conjunto com licitação de obras)-L</v>
      </c>
      <c r="E36" s="66">
        <v>3.5000000000000003E-2</v>
      </c>
      <c r="F36" s="66">
        <v>5.1100000000000007E-2</v>
      </c>
      <c r="G36" s="66">
        <v>6.2199999999999998E-2</v>
      </c>
      <c r="I36" t="s">
        <v>246</v>
      </c>
      <c r="J36" s="80"/>
      <c r="K36" s="80"/>
      <c r="L36" s="80"/>
      <c r="M36" s="697"/>
      <c r="N36" s="692" t="s">
        <v>181</v>
      </c>
      <c r="O36" s="692"/>
      <c r="P36" s="692"/>
      <c r="Q36" s="704"/>
      <c r="R36" s="80"/>
      <c r="S36" s="80"/>
    </row>
    <row r="37" spans="1:19" ht="15" customHeight="1">
      <c r="A37" s="61" t="str">
        <f>A36</f>
        <v>Fornecimento de Materiais e Equipamentos (aquisição indireta - em conjunto com licitação de obras)</v>
      </c>
      <c r="B37" s="70" t="s">
        <v>150</v>
      </c>
      <c r="C37" s="61" t="str">
        <f t="shared" si="0"/>
        <v>Fornecimento de Materiais e Equipamentos (aquisição indireta - em conjunto com licitação de obras)-BDI PAD</v>
      </c>
      <c r="E37" s="66">
        <v>0.111</v>
      </c>
      <c r="F37" s="66">
        <v>0.14019999999999999</v>
      </c>
      <c r="G37" s="66">
        <v>0.16800000000000001</v>
      </c>
      <c r="I37" t="s">
        <v>246</v>
      </c>
      <c r="J37" s="84"/>
      <c r="K37" s="84"/>
      <c r="L37" s="84"/>
      <c r="M37" s="84"/>
      <c r="N37" s="84"/>
      <c r="O37" s="84"/>
      <c r="P37" s="84"/>
      <c r="Q37" s="84"/>
      <c r="R37" s="84"/>
      <c r="S37" s="84"/>
    </row>
    <row r="38" spans="1:19" ht="50.1" customHeight="1">
      <c r="A38" s="61" t="s">
        <v>182</v>
      </c>
      <c r="B38" s="70" t="s">
        <v>142</v>
      </c>
      <c r="C38" s="61" t="str">
        <f t="shared" si="0"/>
        <v>Fornecimento de Materiais e Equipamentos (aquisição direta)-AC</v>
      </c>
      <c r="E38" s="66" t="s">
        <v>166</v>
      </c>
      <c r="F38" s="66" t="s">
        <v>166</v>
      </c>
      <c r="G38" s="66" t="s">
        <v>166</v>
      </c>
      <c r="I38" t="s">
        <v>246</v>
      </c>
      <c r="J38" s="693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3%, com a respectiva alíquota de 4,65%.</v>
      </c>
      <c r="K38" s="693"/>
      <c r="L38" s="693"/>
      <c r="M38" s="693"/>
      <c r="N38" s="693"/>
      <c r="O38" s="693"/>
      <c r="P38" s="693"/>
      <c r="Q38" s="693"/>
      <c r="R38" s="693"/>
      <c r="S38" s="693"/>
    </row>
    <row r="39" spans="1:19">
      <c r="A39" s="61" t="s">
        <v>182</v>
      </c>
      <c r="B39" s="70" t="s">
        <v>144</v>
      </c>
      <c r="C39" s="61" t="str">
        <f t="shared" si="0"/>
        <v>Fornecimento de Materiais e Equipamentos (aquisição direta)-SG</v>
      </c>
      <c r="E39" s="66" t="s">
        <v>166</v>
      </c>
      <c r="F39" s="66" t="s">
        <v>166</v>
      </c>
      <c r="G39" s="66" t="s">
        <v>166</v>
      </c>
      <c r="I39" t="s">
        <v>246</v>
      </c>
    </row>
    <row r="40" spans="1:19" ht="50.1" customHeight="1">
      <c r="A40" s="61" t="s">
        <v>182</v>
      </c>
      <c r="B40" s="70" t="s">
        <v>145</v>
      </c>
      <c r="C40" s="61" t="str">
        <f t="shared" si="0"/>
        <v>Fornecimento de Materiais e Equipamentos (aquisição direta)-R</v>
      </c>
      <c r="E40" s="66" t="s">
        <v>166</v>
      </c>
      <c r="F40" s="66" t="s">
        <v>166</v>
      </c>
      <c r="G40" s="66" t="s">
        <v>166</v>
      </c>
      <c r="I40" t="s">
        <v>246</v>
      </c>
      <c r="J40" s="693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40" s="693"/>
      <c r="L40" s="693"/>
      <c r="M40" s="693"/>
      <c r="N40" s="693"/>
      <c r="O40" s="693"/>
      <c r="P40" s="693"/>
      <c r="Q40" s="693"/>
      <c r="R40" s="693"/>
      <c r="S40" s="693"/>
    </row>
    <row r="41" spans="1:19">
      <c r="A41" s="61" t="s">
        <v>182</v>
      </c>
      <c r="B41" s="70" t="s">
        <v>148</v>
      </c>
      <c r="C41" s="61" t="str">
        <f t="shared" si="0"/>
        <v>Fornecimento de Materiais e Equipamentos (aquisição direta)-DF</v>
      </c>
      <c r="E41" s="66" t="s">
        <v>166</v>
      </c>
      <c r="F41" s="66" t="s">
        <v>166</v>
      </c>
      <c r="G41" s="66" t="s">
        <v>166</v>
      </c>
      <c r="I41" t="s">
        <v>246</v>
      </c>
    </row>
    <row r="42" spans="1:19">
      <c r="A42" s="61" t="s">
        <v>182</v>
      </c>
      <c r="B42" s="70" t="s">
        <v>149</v>
      </c>
      <c r="C42" s="61" t="str">
        <f t="shared" si="0"/>
        <v>Fornecimento de Materiais e Equipamentos (aquisição direta)-L</v>
      </c>
      <c r="E42" s="66" t="s">
        <v>166</v>
      </c>
      <c r="F42" s="66" t="s">
        <v>166</v>
      </c>
      <c r="G42" s="66" t="s">
        <v>166</v>
      </c>
      <c r="I42" t="s">
        <v>246</v>
      </c>
      <c r="J42" s="61" t="s">
        <v>187</v>
      </c>
    </row>
    <row r="43" spans="1:19" ht="99.95" customHeight="1">
      <c r="A43" s="61" t="s">
        <v>182</v>
      </c>
      <c r="B43" s="70" t="s">
        <v>150</v>
      </c>
      <c r="C43" s="61" t="str">
        <f t="shared" si="0"/>
        <v>Fornecimento de Materiais e Equipamentos (aquisição direta)-BDI PAD</v>
      </c>
      <c r="E43" s="66" t="s">
        <v>166</v>
      </c>
      <c r="F43" s="66" t="s">
        <v>166</v>
      </c>
      <c r="G43" s="66" t="s">
        <v>166</v>
      </c>
      <c r="I43" t="s">
        <v>246</v>
      </c>
      <c r="J43" s="705"/>
      <c r="K43" s="705"/>
      <c r="L43" s="705"/>
      <c r="M43" s="705"/>
      <c r="N43" s="705"/>
      <c r="O43" s="705"/>
      <c r="P43" s="705"/>
      <c r="Q43" s="705"/>
      <c r="R43" s="705"/>
      <c r="S43" s="705"/>
    </row>
    <row r="44" spans="1:19">
      <c r="A44" s="61" t="s">
        <v>183</v>
      </c>
      <c r="B44" s="65" t="s">
        <v>184</v>
      </c>
      <c r="C44" s="61" t="str">
        <f t="shared" si="0"/>
        <v>Estudos e Projetos, Planos e Gerenciamento e outros correlatos-K1</v>
      </c>
      <c r="E44" s="66" t="s">
        <v>166</v>
      </c>
      <c r="F44" s="66" t="s">
        <v>166</v>
      </c>
      <c r="G44" s="66" t="s">
        <v>166</v>
      </c>
      <c r="I44" t="s">
        <v>246</v>
      </c>
    </row>
    <row r="45" spans="1:19">
      <c r="A45" s="61" t="str">
        <f>A44</f>
        <v>Estudos e Projetos, Planos e Gerenciamento e outros correlatos</v>
      </c>
      <c r="B45" s="65" t="s">
        <v>185</v>
      </c>
      <c r="C45" s="61" t="str">
        <f t="shared" si="0"/>
        <v>Estudos e Projetos, Planos e Gerenciamento e outros correlatos-K2</v>
      </c>
      <c r="E45" s="66" t="s">
        <v>166</v>
      </c>
      <c r="F45" s="66">
        <v>0.2</v>
      </c>
      <c r="G45" s="66" t="s">
        <v>166</v>
      </c>
      <c r="I45" t="s">
        <v>246</v>
      </c>
      <c r="J45" s="699" t="str">
        <f>Import.Município</f>
        <v>PAINS/MG</v>
      </c>
      <c r="K45" s="699"/>
      <c r="L45" s="699"/>
      <c r="M45" s="699"/>
      <c r="P45" s="700">
        <f ca="1">DADOS!$F$25</f>
        <v>45609</v>
      </c>
      <c r="Q45" s="700"/>
      <c r="R45" s="700"/>
      <c r="S45" s="700"/>
    </row>
    <row r="46" spans="1:19">
      <c r="A46" s="61" t="str">
        <f>A45</f>
        <v>Estudos e Projetos, Planos e Gerenciamento e outros correlatos</v>
      </c>
      <c r="B46" s="65"/>
      <c r="C46" s="61" t="str">
        <f t="shared" si="0"/>
        <v>Estudos e Projetos, Planos e Gerenciamento e outros correlatos-</v>
      </c>
      <c r="E46" s="66" t="s">
        <v>166</v>
      </c>
      <c r="F46" s="66" t="s">
        <v>166</v>
      </c>
      <c r="G46" s="66" t="s">
        <v>166</v>
      </c>
      <c r="I46" t="s">
        <v>246</v>
      </c>
      <c r="J46" s="701" t="s">
        <v>188</v>
      </c>
      <c r="K46" s="701"/>
      <c r="L46" s="701"/>
      <c r="M46" s="701"/>
      <c r="O46" s="85"/>
      <c r="P46" s="86" t="s">
        <v>189</v>
      </c>
      <c r="Q46" s="87"/>
      <c r="R46" s="87"/>
      <c r="S46" s="87"/>
    </row>
    <row r="47" spans="1:19" ht="30" customHeight="1">
      <c r="A47" s="61" t="str">
        <f>A46</f>
        <v>Estudos e Projetos, Planos e Gerenciamento e outros correlatos</v>
      </c>
      <c r="B47" s="65"/>
      <c r="C47" s="61" t="str">
        <f t="shared" si="0"/>
        <v>Estudos e Projetos, Planos e Gerenciamento e outros correlatos-</v>
      </c>
      <c r="E47" s="66" t="s">
        <v>166</v>
      </c>
      <c r="F47" s="66" t="s">
        <v>166</v>
      </c>
      <c r="G47" s="66" t="s">
        <v>166</v>
      </c>
      <c r="I47" t="s">
        <v>246</v>
      </c>
    </row>
    <row r="48" spans="1:19" ht="15">
      <c r="A48" s="61" t="str">
        <f>A47</f>
        <v>Estudos e Projetos, Planos e Gerenciamento e outros correlatos</v>
      </c>
      <c r="B48" s="65" t="s">
        <v>186</v>
      </c>
      <c r="C48" s="61" t="str">
        <f t="shared" si="0"/>
        <v>Estudos e Projetos, Planos e Gerenciamento e outros correlatos-K3</v>
      </c>
      <c r="E48" s="66" t="s">
        <v>166</v>
      </c>
      <c r="F48" s="66">
        <v>0.12</v>
      </c>
      <c r="G48" s="66" t="s">
        <v>166</v>
      </c>
      <c r="I48" t="s">
        <v>246</v>
      </c>
      <c r="J48" s="702"/>
      <c r="K48" s="702"/>
      <c r="L48" s="702"/>
      <c r="M48" s="702"/>
      <c r="N48" s="88"/>
    </row>
    <row r="49" spans="1:26" ht="12.75" customHeight="1">
      <c r="A49" s="61" t="str">
        <f>A48</f>
        <v>Estudos e Projetos, Planos e Gerenciamento e outros correlatos</v>
      </c>
      <c r="B49" s="70" t="s">
        <v>150</v>
      </c>
      <c r="C49" s="61" t="str">
        <f t="shared" si="0"/>
        <v>Estudos e Projetos, Planos e Gerenciamento e outros correlatos-BDI PAD</v>
      </c>
      <c r="E49" s="66" t="s">
        <v>166</v>
      </c>
      <c r="F49" s="66" t="s">
        <v>166</v>
      </c>
      <c r="G49" s="66" t="s">
        <v>166</v>
      </c>
      <c r="I49" t="s">
        <v>246</v>
      </c>
      <c r="J49" s="698" t="s">
        <v>190</v>
      </c>
      <c r="K49" s="698"/>
      <c r="L49" s="698"/>
      <c r="M49" s="698"/>
      <c r="N49" s="89"/>
    </row>
    <row r="50" spans="1:26" ht="14.25">
      <c r="B50" s="70"/>
      <c r="E50" s="66"/>
      <c r="F50" s="66"/>
      <c r="G50" s="66"/>
      <c r="I50" t="s">
        <v>246</v>
      </c>
      <c r="J50" s="90" t="s">
        <v>108</v>
      </c>
      <c r="K50" s="91" t="str">
        <f t="array" ref="K50:K52">Import.RespOrçamento</f>
        <v>VINÍCIUS HENRIQUE ALVES</v>
      </c>
      <c r="L50" s="92"/>
      <c r="M50" s="92"/>
      <c r="N50" s="93"/>
    </row>
    <row r="51" spans="1:26" ht="14.25">
      <c r="A51"/>
      <c r="B51"/>
      <c r="C51"/>
      <c r="D51"/>
      <c r="E51"/>
      <c r="F51"/>
      <c r="G51"/>
      <c r="I51" t="s">
        <v>246</v>
      </c>
      <c r="J51" s="90" t="s">
        <v>109</v>
      </c>
      <c r="K51" s="91" t="str">
        <v>253.246/D</v>
      </c>
      <c r="L51" s="92"/>
      <c r="M51" s="92"/>
      <c r="N51" s="93"/>
    </row>
    <row r="52" spans="1:26" ht="14.25">
      <c r="A52"/>
      <c r="B52"/>
      <c r="C52"/>
      <c r="D52"/>
      <c r="E52"/>
      <c r="F52"/>
      <c r="G52"/>
      <c r="I52" t="s">
        <v>246</v>
      </c>
      <c r="J52" s="90" t="s">
        <v>110</v>
      </c>
      <c r="K52" s="91" t="str">
        <v>MG20243487432</v>
      </c>
      <c r="L52" s="92"/>
      <c r="M52" s="92"/>
      <c r="N52" s="93"/>
    </row>
    <row r="53" spans="1:26" ht="14.25">
      <c r="A53"/>
      <c r="B53"/>
      <c r="C53"/>
      <c r="D53"/>
      <c r="E53"/>
      <c r="F53"/>
      <c r="G53"/>
      <c r="I53" t="s">
        <v>246</v>
      </c>
      <c r="J53" s="90"/>
      <c r="K53" s="94"/>
      <c r="L53" s="92"/>
      <c r="M53" s="92"/>
      <c r="N53" s="93"/>
    </row>
    <row r="54" spans="1:26" ht="15.75">
      <c r="A54"/>
      <c r="B54"/>
      <c r="C54"/>
      <c r="D54"/>
      <c r="E54"/>
      <c r="F54"/>
      <c r="G54"/>
      <c r="I54" t="str">
        <f ca="1">IF($S$69=0,"","F")</f>
        <v/>
      </c>
      <c r="J54" s="689" t="s">
        <v>191</v>
      </c>
      <c r="K54" s="689"/>
      <c r="L54" s="689"/>
      <c r="M54" s="689"/>
      <c r="N54" s="689"/>
      <c r="O54" s="689"/>
      <c r="P54" s="689"/>
      <c r="Q54" s="689"/>
      <c r="R54" s="689"/>
      <c r="S54" s="689"/>
    </row>
    <row r="55" spans="1:26">
      <c r="A55"/>
      <c r="B55"/>
      <c r="C55"/>
      <c r="D55"/>
      <c r="E55"/>
      <c r="F55"/>
      <c r="G55"/>
      <c r="I55" t="str">
        <f t="shared" ref="I55:I93" ca="1" si="1">IF($S$69=0,"","F")</f>
        <v/>
      </c>
    </row>
    <row r="56" spans="1:26">
      <c r="A56"/>
      <c r="B56"/>
      <c r="C56"/>
      <c r="D56"/>
      <c r="E56"/>
      <c r="F56"/>
      <c r="G56"/>
      <c r="I56" t="str">
        <f t="shared" ca="1" si="1"/>
        <v/>
      </c>
      <c r="J56" s="680" t="s">
        <v>157</v>
      </c>
      <c r="K56" s="680"/>
      <c r="L56" s="680"/>
      <c r="M56" s="680"/>
      <c r="N56" s="680"/>
      <c r="O56" s="680"/>
      <c r="P56" s="680"/>
      <c r="Q56" s="680"/>
      <c r="R56" s="680"/>
      <c r="S56" s="680"/>
    </row>
    <row r="57" spans="1:26">
      <c r="A57"/>
      <c r="B57"/>
      <c r="C57"/>
      <c r="D57"/>
      <c r="E57"/>
      <c r="F57"/>
      <c r="G57"/>
      <c r="I57" t="str">
        <f t="shared" ca="1" si="1"/>
        <v/>
      </c>
      <c r="J57" s="686" t="s">
        <v>409</v>
      </c>
      <c r="K57" s="686"/>
      <c r="L57" s="686"/>
      <c r="M57" s="686"/>
      <c r="N57" s="686"/>
      <c r="O57" s="686"/>
      <c r="P57" s="686"/>
      <c r="Q57" s="686"/>
      <c r="R57" s="686"/>
      <c r="S57" s="686"/>
    </row>
    <row r="58" spans="1:26">
      <c r="A58"/>
      <c r="B58"/>
      <c r="C58"/>
      <c r="D58"/>
      <c r="E58"/>
      <c r="F58"/>
      <c r="G58"/>
      <c r="I58" t="str">
        <f t="shared" ca="1" si="1"/>
        <v/>
      </c>
    </row>
    <row r="59" spans="1:26" ht="12.75" customHeight="1">
      <c r="A59"/>
      <c r="B59"/>
      <c r="C59"/>
      <c r="D59"/>
      <c r="E59"/>
      <c r="F59"/>
      <c r="G59"/>
      <c r="I59" t="str">
        <f t="shared" ca="1" si="1"/>
        <v/>
      </c>
      <c r="J59" s="688" t="s">
        <v>158</v>
      </c>
      <c r="K59" s="688"/>
      <c r="L59" s="688"/>
      <c r="M59" s="688"/>
      <c r="N59" s="688"/>
      <c r="O59" s="688"/>
      <c r="P59" s="688"/>
      <c r="Q59" s="688"/>
      <c r="R59" s="688" t="s">
        <v>159</v>
      </c>
      <c r="S59" s="687" t="s">
        <v>160</v>
      </c>
      <c r="U59" s="687" t="s">
        <v>161</v>
      </c>
      <c r="V59" s="687"/>
      <c r="W59" s="687"/>
      <c r="X59" s="685" t="s">
        <v>162</v>
      </c>
      <c r="Y59" s="685" t="s">
        <v>163</v>
      </c>
      <c r="Z59" s="685" t="s">
        <v>164</v>
      </c>
    </row>
    <row r="60" spans="1:26" ht="12.75" customHeight="1">
      <c r="A60"/>
      <c r="B60"/>
      <c r="C60"/>
      <c r="D60"/>
      <c r="E60"/>
      <c r="F60"/>
      <c r="G60"/>
      <c r="I60" t="str">
        <f t="shared" ca="1" si="1"/>
        <v/>
      </c>
      <c r="J60" s="688"/>
      <c r="K60" s="688"/>
      <c r="L60" s="688"/>
      <c r="M60" s="688"/>
      <c r="N60" s="688"/>
      <c r="O60" s="688"/>
      <c r="P60" s="688"/>
      <c r="Q60" s="688"/>
      <c r="R60" s="688"/>
      <c r="S60" s="687"/>
      <c r="U60" s="687"/>
      <c r="V60" s="687"/>
      <c r="W60" s="687"/>
      <c r="X60" s="685"/>
      <c r="Y60" s="685"/>
      <c r="Z60" s="685"/>
    </row>
    <row r="61" spans="1:26" ht="15" customHeight="1">
      <c r="A61"/>
      <c r="B61"/>
      <c r="C61"/>
      <c r="D61"/>
      <c r="E61"/>
      <c r="F61"/>
      <c r="G61"/>
      <c r="I61" t="str">
        <f t="shared" ca="1" si="1"/>
        <v/>
      </c>
      <c r="J61" s="690" t="str">
        <f>IF($J$17=$A$146,"Encargos Sociais incidentes sobre a mão de obra","Administração Central")</f>
        <v>Administração Central</v>
      </c>
      <c r="K61" s="690"/>
      <c r="L61" s="690"/>
      <c r="M61" s="690"/>
      <c r="N61" s="690"/>
      <c r="O61" s="690"/>
      <c r="P61" s="690"/>
      <c r="Q61" s="690"/>
      <c r="R61" s="72" t="str">
        <f>IF($J57=$A$146,"K1","AC")</f>
        <v>AC</v>
      </c>
      <c r="S61" s="73"/>
      <c r="U61" s="691" t="s">
        <v>166</v>
      </c>
      <c r="V61" s="691"/>
      <c r="W61" s="691"/>
      <c r="X61" s="74" t="e">
        <f>VLOOKUP(CONCATENATE(J57,"-",R61),$C$2:$G$136,3,FALSE)</f>
        <v>#N/A</v>
      </c>
      <c r="Y61" s="74" t="e">
        <f>VLOOKUP(CONCATENATE(J57,"-",R61),$C$2:$G$136,4,FALSE)</f>
        <v>#N/A</v>
      </c>
      <c r="Z61" s="74" t="e">
        <f>VLOOKUP(CONCATENATE(J57,"-",R61),$C$2:$G$136,5,FALSE)</f>
        <v>#N/A</v>
      </c>
    </row>
    <row r="62" spans="1:26" ht="15" customHeight="1">
      <c r="A62"/>
      <c r="B62"/>
      <c r="C62"/>
      <c r="D62"/>
      <c r="E62"/>
      <c r="F62"/>
      <c r="G62"/>
      <c r="I62" t="str">
        <f t="shared" ca="1" si="1"/>
        <v/>
      </c>
      <c r="J62" s="690" t="str">
        <f>IF($J$17=$A$146,"Administração Central da empresa ou consultoria - overhead","Seguro e Garantia")</f>
        <v>Seguro e Garantia</v>
      </c>
      <c r="K62" s="690"/>
      <c r="L62" s="690"/>
      <c r="M62" s="690"/>
      <c r="N62" s="690"/>
      <c r="O62" s="690"/>
      <c r="P62" s="690"/>
      <c r="Q62" s="690"/>
      <c r="R62" s="72" t="str">
        <f>IF($J57=$A$146,"K2","SG")</f>
        <v>SG</v>
      </c>
      <c r="S62" s="73"/>
      <c r="U62" s="691" t="s">
        <v>166</v>
      </c>
      <c r="V62" s="691"/>
      <c r="W62" s="691"/>
      <c r="X62" s="74" t="e">
        <f>VLOOKUP(CONCATENATE(J57,"-",R62),$C$2:$G$136,3,FALSE)</f>
        <v>#N/A</v>
      </c>
      <c r="Y62" s="74" t="e">
        <f>VLOOKUP(CONCATENATE(J57,"-",R62),$C$2:$G$136,4,FALSE)</f>
        <v>#N/A</v>
      </c>
      <c r="Z62" s="74" t="e">
        <f>VLOOKUP(CONCATENATE(J57,"-",R62),$C$2:$G$136,5,FALSE)</f>
        <v>#N/A</v>
      </c>
    </row>
    <row r="63" spans="1:26" ht="15" customHeight="1">
      <c r="A63"/>
      <c r="B63"/>
      <c r="C63"/>
      <c r="D63"/>
      <c r="E63"/>
      <c r="F63"/>
      <c r="G63"/>
      <c r="I63" t="str">
        <f t="shared" ca="1" si="1"/>
        <v/>
      </c>
      <c r="J63" s="690" t="str">
        <f>IF($J$17=$A$146,"","Risco")</f>
        <v>Risco</v>
      </c>
      <c r="K63" s="690"/>
      <c r="L63" s="690"/>
      <c r="M63" s="690"/>
      <c r="N63" s="690"/>
      <c r="O63" s="690"/>
      <c r="P63" s="690"/>
      <c r="Q63" s="690"/>
      <c r="R63" s="72" t="str">
        <f>IF($J57=$A$146,"","R")</f>
        <v>R</v>
      </c>
      <c r="S63" s="73"/>
      <c r="U63" s="691" t="s">
        <v>166</v>
      </c>
      <c r="V63" s="691"/>
      <c r="W63" s="691"/>
      <c r="X63" s="74" t="e">
        <f>VLOOKUP(CONCATENATE(J57,"-",R63),$C$2:$G$136,3,FALSE)</f>
        <v>#N/A</v>
      </c>
      <c r="Y63" s="74" t="e">
        <f>VLOOKUP(CONCATENATE(J57,"-",R63),$C$2:$G$136,4,FALSE)</f>
        <v>#N/A</v>
      </c>
      <c r="Z63" s="74" t="e">
        <f>VLOOKUP(CONCATENATE(J57,"-",R63),$C$2:$G$136,5,FALSE)</f>
        <v>#N/A</v>
      </c>
    </row>
    <row r="64" spans="1:26" ht="15" customHeight="1">
      <c r="A64"/>
      <c r="B64"/>
      <c r="C64"/>
      <c r="D64"/>
      <c r="E64"/>
      <c r="F64"/>
      <c r="G64"/>
      <c r="I64" t="str">
        <f t="shared" ca="1" si="1"/>
        <v/>
      </c>
      <c r="J64" s="690" t="str">
        <f>IF($J$17=$A$146,"","Despesas Financeiras")</f>
        <v>Despesas Financeiras</v>
      </c>
      <c r="K64" s="690"/>
      <c r="L64" s="690"/>
      <c r="M64" s="690"/>
      <c r="N64" s="690"/>
      <c r="O64" s="690"/>
      <c r="P64" s="690"/>
      <c r="Q64" s="690"/>
      <c r="R64" s="72" t="str">
        <f>IF($J57=$A$146,"","DF")</f>
        <v>DF</v>
      </c>
      <c r="S64" s="73"/>
      <c r="U64" s="691" t="s">
        <v>166</v>
      </c>
      <c r="V64" s="691"/>
      <c r="W64" s="691"/>
      <c r="X64" s="74" t="e">
        <f>VLOOKUP(CONCATENATE(J57,"-",R64),$C$2:$G$136,3,FALSE)</f>
        <v>#N/A</v>
      </c>
      <c r="Y64" s="74" t="e">
        <f>VLOOKUP(CONCATENATE(J57,"-",R64),$C$2:$G$136,4,FALSE)</f>
        <v>#N/A</v>
      </c>
      <c r="Z64" s="74" t="e">
        <f>VLOOKUP(CONCATENATE(J57,"-",R64),$C$2:$G$136,5,FALSE)</f>
        <v>#N/A</v>
      </c>
    </row>
    <row r="65" spans="1:26" ht="15" customHeight="1">
      <c r="A65"/>
      <c r="B65"/>
      <c r="C65"/>
      <c r="D65"/>
      <c r="E65"/>
      <c r="F65"/>
      <c r="G65"/>
      <c r="I65" t="str">
        <f t="shared" ca="1" si="1"/>
        <v/>
      </c>
      <c r="J65" s="690" t="str">
        <f>IF($J$17=$A$146,"Margem bruta da empresa de consultoria","Lucro")</f>
        <v>Lucro</v>
      </c>
      <c r="K65" s="690"/>
      <c r="L65" s="690"/>
      <c r="M65" s="690"/>
      <c r="N65" s="690"/>
      <c r="O65" s="690"/>
      <c r="P65" s="690"/>
      <c r="Q65" s="690"/>
      <c r="R65" s="72" t="str">
        <f>IF($J57=$A$146,"K3","L")</f>
        <v>L</v>
      </c>
      <c r="S65" s="73"/>
      <c r="U65" s="691" t="s">
        <v>166</v>
      </c>
      <c r="V65" s="691"/>
      <c r="W65" s="691"/>
      <c r="X65" s="74" t="e">
        <f>VLOOKUP(CONCATENATE(J57,"-",R65),$C$2:$G$136,3,FALSE)</f>
        <v>#N/A</v>
      </c>
      <c r="Y65" s="74" t="e">
        <f>VLOOKUP(CONCATENATE(J57,"-",R65),$C$2:$G$136,4,FALSE)</f>
        <v>#N/A</v>
      </c>
      <c r="Z65" s="74" t="e">
        <f>VLOOKUP(CONCATENATE(J57,"-",R65),$C$2:$G$136,5,FALSE)</f>
        <v>#N/A</v>
      </c>
    </row>
    <row r="66" spans="1:26" ht="15" customHeight="1">
      <c r="A66"/>
      <c r="B66"/>
      <c r="C66"/>
      <c r="D66"/>
      <c r="E66"/>
      <c r="F66"/>
      <c r="G66"/>
      <c r="I66" t="str">
        <f t="shared" ca="1" si="1"/>
        <v/>
      </c>
      <c r="J66" s="690" t="s">
        <v>168</v>
      </c>
      <c r="K66" s="690"/>
      <c r="L66" s="690"/>
      <c r="M66" s="690"/>
      <c r="N66" s="690"/>
      <c r="O66" s="690"/>
      <c r="P66" s="690"/>
      <c r="Q66" s="690"/>
      <c r="R66" s="72" t="s">
        <v>169</v>
      </c>
      <c r="S66" s="73"/>
      <c r="U66" s="691" t="s">
        <v>166</v>
      </c>
      <c r="V66" s="691"/>
      <c r="W66" s="691"/>
      <c r="X66" s="74">
        <v>3.6499999999999998E-2</v>
      </c>
      <c r="Y66" s="74">
        <v>3.6499999999999998E-2</v>
      </c>
      <c r="Z66" s="74">
        <v>3.6499999999999998E-2</v>
      </c>
    </row>
    <row r="67" spans="1:26" ht="15" customHeight="1">
      <c r="A67"/>
      <c r="B67"/>
      <c r="C67"/>
      <c r="D67"/>
      <c r="E67"/>
      <c r="F67"/>
      <c r="G67"/>
      <c r="I67" t="str">
        <f t="shared" ca="1" si="1"/>
        <v/>
      </c>
      <c r="J67" s="690" t="s">
        <v>170</v>
      </c>
      <c r="K67" s="690"/>
      <c r="L67" s="690"/>
      <c r="M67" s="690"/>
      <c r="N67" s="690"/>
      <c r="O67" s="690"/>
      <c r="P67" s="690"/>
      <c r="Q67" s="690"/>
      <c r="R67" s="72" t="s">
        <v>171</v>
      </c>
      <c r="S67" s="74">
        <f ca="1">IF(AND($J57&lt;&gt;$A$145,COUNTA(OFFSET(S60,1,0,6))&gt;0),$R$11*$R$10,0)</f>
        <v>0</v>
      </c>
      <c r="U67" s="691" t="s">
        <v>166</v>
      </c>
      <c r="V67" s="691"/>
      <c r="W67" s="691"/>
      <c r="X67" s="74">
        <v>0</v>
      </c>
      <c r="Y67" s="74">
        <v>2.5000000000000001E-2</v>
      </c>
      <c r="Z67" s="74">
        <v>0.05</v>
      </c>
    </row>
    <row r="68" spans="1:26" ht="15" customHeight="1">
      <c r="A68"/>
      <c r="B68"/>
      <c r="C68"/>
      <c r="D68"/>
      <c r="E68"/>
      <c r="F68"/>
      <c r="G68"/>
      <c r="I68" t="str">
        <f t="shared" ca="1" si="1"/>
        <v/>
      </c>
      <c r="J68" s="690" t="s">
        <v>172</v>
      </c>
      <c r="K68" s="690"/>
      <c r="L68" s="690"/>
      <c r="M68" s="690"/>
      <c r="N68" s="690"/>
      <c r="O68" s="690"/>
      <c r="P68" s="690"/>
      <c r="Q68" s="690"/>
      <c r="R68" s="72" t="s">
        <v>173</v>
      </c>
      <c r="S68" s="74">
        <f ca="1">IF(BDI.Opcao&lt;&gt;"Desonerado",0,IF(AND($J57&lt;&gt;$A$145,COUNTA(OFFSET(S60,1,0,6))&gt;0),4.5%,0%))</f>
        <v>0</v>
      </c>
      <c r="U68" s="691" t="s">
        <v>166</v>
      </c>
      <c r="V68" s="691"/>
      <c r="W68" s="691"/>
      <c r="X68" s="75">
        <v>0</v>
      </c>
      <c r="Y68" s="75">
        <v>4.4999999999999998E-2</v>
      </c>
      <c r="Z68" s="75">
        <v>4.4999999999999998E-2</v>
      </c>
    </row>
    <row r="69" spans="1:26" ht="15" customHeight="1">
      <c r="A69"/>
      <c r="B69"/>
      <c r="C69"/>
      <c r="D69"/>
      <c r="E69"/>
      <c r="F69"/>
      <c r="G69"/>
      <c r="I69" t="str">
        <f t="shared" ca="1" si="1"/>
        <v/>
      </c>
      <c r="J69" s="690" t="s">
        <v>174</v>
      </c>
      <c r="K69" s="690"/>
      <c r="L69" s="690"/>
      <c r="M69" s="690"/>
      <c r="N69" s="690"/>
      <c r="O69" s="690"/>
      <c r="P69" s="690"/>
      <c r="Q69" s="690"/>
      <c r="R69" s="76" t="s">
        <v>150</v>
      </c>
      <c r="S69" s="74">
        <f ca="1">IF($J57=$A$145,0,ROUND((((1+S61+S62+S63)*(1+S64)*(1+S65)/(1-(S66+S67)))-1),4))</f>
        <v>0</v>
      </c>
      <c r="U69" s="687" t="e">
        <f ca="1">IF(OR($J$17=$A$146,$J$17=$A$145,AND(S69&gt;=X69,S69&lt;=Z69)),"OK","FORA DO INTERVALO")</f>
        <v>#N/A</v>
      </c>
      <c r="V69" s="687"/>
      <c r="W69" s="687"/>
      <c r="X69" s="74" t="e">
        <f>IF($J57=$A$145,0,VLOOKUP(CONCATENATE($J57,"-",$R69),$C$2:$G$136,3,FALSE))</f>
        <v>#N/A</v>
      </c>
      <c r="Y69" s="74" t="e">
        <f>IF($J57=$A$145,0,VLOOKUP(CONCATENATE($J57,"-",$R69),$C$2:$G$136,4,FALSE))</f>
        <v>#N/A</v>
      </c>
      <c r="Z69" s="74" t="e">
        <f>IF($J57=$A$145,0,VLOOKUP(CONCATENATE($J57,"-",$R69),$C$2:$G$136,5,FALSE))</f>
        <v>#N/A</v>
      </c>
    </row>
    <row r="70" spans="1:26" ht="15" customHeight="1">
      <c r="A70"/>
      <c r="B70"/>
      <c r="C70"/>
      <c r="D70"/>
      <c r="E70"/>
      <c r="F70"/>
      <c r="G70"/>
      <c r="I70" t="str">
        <f t="shared" ca="1" si="1"/>
        <v/>
      </c>
      <c r="J70" s="694" t="s">
        <v>175</v>
      </c>
      <c r="K70" s="694"/>
      <c r="L70" s="694"/>
      <c r="M70" s="694"/>
      <c r="N70" s="694"/>
      <c r="O70" s="694"/>
      <c r="P70" s="694"/>
      <c r="Q70" s="694"/>
      <c r="R70" s="77" t="s">
        <v>176</v>
      </c>
      <c r="S70" s="78">
        <f ca="1">IF($J57=$A$145,0,ROUND((((1+S61+S62+S63)*(1+S64)*(1+S65)/(1-(S66+S67+S68)))-1),4))</f>
        <v>0</v>
      </c>
    </row>
    <row r="71" spans="1:26" ht="25.5" customHeight="1">
      <c r="A71"/>
      <c r="B71"/>
      <c r="C71"/>
      <c r="D71"/>
      <c r="E71"/>
      <c r="F71"/>
      <c r="G71"/>
      <c r="I71" t="str">
        <f t="shared" ca="1" si="1"/>
        <v/>
      </c>
    </row>
    <row r="72" spans="1:26" ht="15.75">
      <c r="A72"/>
      <c r="B72"/>
      <c r="C72"/>
      <c r="D72"/>
      <c r="E72"/>
      <c r="F72"/>
      <c r="G72"/>
      <c r="I72" t="str">
        <f t="shared" ca="1" si="1"/>
        <v/>
      </c>
      <c r="J72" s="79" t="e">
        <f ca="1">IF(U69&lt;&gt;"ok","X","")</f>
        <v>#N/A</v>
      </c>
      <c r="K72" s="695" t="e">
        <f ca="1">IF(U69&lt;&gt;"ok","Anexo: Relatório Técnico Circunstanciado justificando a adoção do percentual de cada parcela do BDI.","")</f>
        <v>#N/A</v>
      </c>
      <c r="L72" s="695"/>
      <c r="M72" s="695"/>
      <c r="N72" s="695"/>
      <c r="O72" s="695"/>
      <c r="P72" s="695"/>
      <c r="Q72" s="695"/>
      <c r="R72" s="695"/>
      <c r="S72" s="695"/>
    </row>
    <row r="73" spans="1:26">
      <c r="A73"/>
      <c r="B73"/>
      <c r="C73"/>
      <c r="D73"/>
      <c r="E73"/>
      <c r="F73"/>
      <c r="G73"/>
      <c r="I73" t="str">
        <f t="shared" ca="1" si="1"/>
        <v/>
      </c>
    </row>
    <row r="74" spans="1:26">
      <c r="A74"/>
      <c r="B74"/>
      <c r="C74"/>
      <c r="D74"/>
      <c r="E74"/>
      <c r="F74"/>
      <c r="G74"/>
      <c r="I74" t="str">
        <f t="shared" ca="1" si="1"/>
        <v/>
      </c>
      <c r="J74" s="696" t="s">
        <v>178</v>
      </c>
      <c r="K74" s="696"/>
      <c r="L74" s="696"/>
      <c r="M74" s="696"/>
      <c r="N74" s="696"/>
      <c r="O74" s="696"/>
      <c r="P74" s="696"/>
      <c r="Q74" s="696"/>
      <c r="R74" s="696"/>
      <c r="S74" s="696"/>
    </row>
    <row r="75" spans="1:26" ht="15.75">
      <c r="A75"/>
      <c r="B75"/>
      <c r="C75"/>
      <c r="D75"/>
      <c r="E75"/>
      <c r="F75"/>
      <c r="G75"/>
      <c r="I75" t="str">
        <f t="shared" ca="1" si="1"/>
        <v/>
      </c>
      <c r="J75" s="80"/>
      <c r="K75" s="80"/>
      <c r="L75" s="80"/>
      <c r="M75" s="697" t="s">
        <v>179</v>
      </c>
      <c r="N75" s="703" t="str">
        <f>IF($J57=$A$146,"(1+K1+K2)*(1+K3)","(1+AC + S + R + G)*(1 + DF)*(1+L)")</f>
        <v>(1+AC + S + R + G)*(1 + DF)*(1+L)</v>
      </c>
      <c r="O75" s="703"/>
      <c r="P75" s="703"/>
      <c r="Q75" s="704" t="s">
        <v>180</v>
      </c>
      <c r="R75" s="80"/>
      <c r="S75" s="80"/>
    </row>
    <row r="76" spans="1:26" ht="15.75">
      <c r="A76"/>
      <c r="B76"/>
      <c r="C76"/>
      <c r="D76"/>
      <c r="E76"/>
      <c r="F76"/>
      <c r="G76"/>
      <c r="I76" t="str">
        <f t="shared" ca="1" si="1"/>
        <v/>
      </c>
      <c r="J76" s="80"/>
      <c r="K76" s="80"/>
      <c r="L76" s="80"/>
      <c r="M76" s="697"/>
      <c r="N76" s="692" t="s">
        <v>181</v>
      </c>
      <c r="O76" s="692"/>
      <c r="P76" s="692"/>
      <c r="Q76" s="704"/>
      <c r="R76" s="80"/>
      <c r="S76" s="80"/>
    </row>
    <row r="77" spans="1:26" ht="15" customHeight="1">
      <c r="A77"/>
      <c r="B77"/>
      <c r="C77"/>
      <c r="D77"/>
      <c r="E77"/>
      <c r="F77"/>
      <c r="G77"/>
      <c r="I77" t="str">
        <f t="shared" ca="1" si="1"/>
        <v/>
      </c>
      <c r="J77" s="80"/>
      <c r="K77" s="80"/>
      <c r="L77" s="80"/>
      <c r="M77" s="81"/>
      <c r="N77" s="83"/>
      <c r="O77" s="83"/>
      <c r="P77" s="83"/>
      <c r="Q77" s="82"/>
      <c r="R77" s="80"/>
      <c r="S77" s="80"/>
    </row>
    <row r="78" spans="1:26" ht="50.1" customHeight="1">
      <c r="A78"/>
      <c r="B78"/>
      <c r="C78"/>
      <c r="D78"/>
      <c r="E78"/>
      <c r="F78"/>
      <c r="G78"/>
      <c r="I78" t="str">
        <f t="shared" ca="1" si="1"/>
        <v/>
      </c>
      <c r="J78" s="693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3%, com a respectiva alíquota de 4,65%.</v>
      </c>
      <c r="K78" s="693"/>
      <c r="L78" s="693"/>
      <c r="M78" s="693"/>
      <c r="N78" s="693"/>
      <c r="O78" s="693"/>
      <c r="P78" s="693"/>
      <c r="Q78" s="693"/>
      <c r="R78" s="693"/>
      <c r="S78" s="693"/>
    </row>
    <row r="79" spans="1:26">
      <c r="A79"/>
      <c r="B79"/>
      <c r="C79"/>
      <c r="D79"/>
      <c r="E79"/>
      <c r="F79"/>
      <c r="G79"/>
      <c r="I79" t="str">
        <f t="shared" ca="1" si="1"/>
        <v/>
      </c>
    </row>
    <row r="80" spans="1:26" ht="50.1" customHeight="1">
      <c r="A80"/>
      <c r="B80"/>
      <c r="C80"/>
      <c r="D80"/>
      <c r="E80"/>
      <c r="F80"/>
      <c r="G80"/>
      <c r="I80" t="str">
        <f t="shared" ca="1" si="1"/>
        <v/>
      </c>
      <c r="J80" s="693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80" s="693"/>
      <c r="L80" s="693"/>
      <c r="M80" s="693"/>
      <c r="N80" s="693"/>
      <c r="O80" s="693"/>
      <c r="P80" s="693"/>
      <c r="Q80" s="693"/>
      <c r="R80" s="693"/>
      <c r="S80" s="693"/>
    </row>
    <row r="81" spans="1:19">
      <c r="A81"/>
      <c r="B81"/>
      <c r="C81"/>
      <c r="D81"/>
      <c r="E81"/>
      <c r="F81"/>
      <c r="G81"/>
      <c r="I81" t="str">
        <f t="shared" ca="1" si="1"/>
        <v/>
      </c>
    </row>
    <row r="82" spans="1:19">
      <c r="A82"/>
      <c r="B82"/>
      <c r="C82"/>
      <c r="D82"/>
      <c r="E82"/>
      <c r="F82"/>
      <c r="G82"/>
      <c r="I82" t="str">
        <f t="shared" ca="1" si="1"/>
        <v/>
      </c>
      <c r="J82" s="61" t="s">
        <v>187</v>
      </c>
    </row>
    <row r="83" spans="1:19" ht="99.95" customHeight="1">
      <c r="A83"/>
      <c r="B83"/>
      <c r="C83"/>
      <c r="D83"/>
      <c r="E83"/>
      <c r="F83"/>
      <c r="G83"/>
      <c r="I83" t="str">
        <f t="shared" ca="1" si="1"/>
        <v/>
      </c>
      <c r="J83" s="705"/>
      <c r="K83" s="705"/>
      <c r="L83" s="705"/>
      <c r="M83" s="705"/>
      <c r="N83" s="705"/>
      <c r="O83" s="705"/>
      <c r="P83" s="705"/>
      <c r="Q83" s="705"/>
      <c r="R83" s="705"/>
      <c r="S83" s="705"/>
    </row>
    <row r="84" spans="1:19">
      <c r="A84"/>
      <c r="B84"/>
      <c r="C84"/>
      <c r="D84"/>
      <c r="E84"/>
      <c r="F84"/>
      <c r="G84"/>
      <c r="I84" t="str">
        <f t="shared" ca="1" si="1"/>
        <v/>
      </c>
    </row>
    <row r="85" spans="1:19">
      <c r="A85"/>
      <c r="B85"/>
      <c r="C85"/>
      <c r="D85"/>
      <c r="E85"/>
      <c r="F85"/>
      <c r="G85"/>
      <c r="I85" t="str">
        <f t="shared" ca="1" si="1"/>
        <v/>
      </c>
      <c r="J85" s="699" t="str">
        <f>Import.Município</f>
        <v>PAINS/MG</v>
      </c>
      <c r="K85" s="699"/>
      <c r="L85" s="699"/>
      <c r="M85" s="699"/>
      <c r="P85" s="700">
        <f ca="1">DADOS!$F$25</f>
        <v>45609</v>
      </c>
      <c r="Q85" s="700"/>
      <c r="R85" s="700"/>
      <c r="S85" s="700"/>
    </row>
    <row r="86" spans="1:19">
      <c r="A86"/>
      <c r="B86"/>
      <c r="C86"/>
      <c r="D86"/>
      <c r="E86"/>
      <c r="F86"/>
      <c r="G86"/>
      <c r="I86" t="str">
        <f t="shared" ca="1" si="1"/>
        <v/>
      </c>
      <c r="J86" s="701" t="s">
        <v>188</v>
      </c>
      <c r="K86" s="701"/>
      <c r="L86" s="701"/>
      <c r="M86" s="701"/>
      <c r="O86" s="85"/>
      <c r="P86" s="86" t="s">
        <v>189</v>
      </c>
      <c r="Q86" s="87"/>
      <c r="R86" s="87"/>
      <c r="S86" s="87"/>
    </row>
    <row r="87" spans="1:19" ht="30" customHeight="1">
      <c r="A87"/>
      <c r="B87"/>
      <c r="C87"/>
      <c r="D87"/>
      <c r="E87"/>
      <c r="F87"/>
      <c r="G87"/>
      <c r="I87" t="str">
        <f t="shared" ca="1" si="1"/>
        <v/>
      </c>
    </row>
    <row r="88" spans="1:19" ht="15">
      <c r="A88"/>
      <c r="B88"/>
      <c r="C88"/>
      <c r="D88"/>
      <c r="E88"/>
      <c r="F88"/>
      <c r="G88"/>
      <c r="I88" t="str">
        <f t="shared" ca="1" si="1"/>
        <v/>
      </c>
      <c r="J88" s="702"/>
      <c r="K88" s="702"/>
      <c r="L88" s="702"/>
      <c r="M88" s="702"/>
      <c r="N88" s="88"/>
    </row>
    <row r="89" spans="1:19">
      <c r="A89"/>
      <c r="B89"/>
      <c r="C89"/>
      <c r="D89"/>
      <c r="E89"/>
      <c r="F89"/>
      <c r="G89"/>
      <c r="I89" t="str">
        <f t="shared" ca="1" si="1"/>
        <v/>
      </c>
      <c r="J89" s="698" t="s">
        <v>190</v>
      </c>
      <c r="K89" s="698"/>
      <c r="L89" s="698"/>
      <c r="M89" s="698"/>
      <c r="N89" s="89"/>
    </row>
    <row r="90" spans="1:19" ht="14.25">
      <c r="A90"/>
      <c r="B90"/>
      <c r="C90"/>
      <c r="D90"/>
      <c r="E90"/>
      <c r="F90"/>
      <c r="G90"/>
      <c r="I90" t="str">
        <f t="shared" ca="1" si="1"/>
        <v/>
      </c>
      <c r="J90" s="90" t="s">
        <v>108</v>
      </c>
      <c r="K90" s="91" t="str">
        <f t="array" ref="K90:K92">Import.RespOrçamento</f>
        <v>VINÍCIUS HENRIQUE ALVES</v>
      </c>
      <c r="L90" s="92"/>
      <c r="M90" s="92"/>
      <c r="N90" s="93"/>
    </row>
    <row r="91" spans="1:19" ht="14.25">
      <c r="A91"/>
      <c r="B91"/>
      <c r="C91"/>
      <c r="D91"/>
      <c r="E91"/>
      <c r="F91"/>
      <c r="G91"/>
      <c r="I91" t="str">
        <f t="shared" ca="1" si="1"/>
        <v/>
      </c>
      <c r="J91" s="90" t="s">
        <v>109</v>
      </c>
      <c r="K91" s="91" t="str">
        <v>253.246/D</v>
      </c>
      <c r="L91" s="92"/>
      <c r="M91" s="92"/>
      <c r="N91" s="93"/>
    </row>
    <row r="92" spans="1:19" ht="14.25">
      <c r="A92"/>
      <c r="B92"/>
      <c r="C92"/>
      <c r="D92"/>
      <c r="E92"/>
      <c r="F92"/>
      <c r="G92"/>
      <c r="I92" t="str">
        <f t="shared" ca="1" si="1"/>
        <v/>
      </c>
      <c r="J92" s="90" t="s">
        <v>110</v>
      </c>
      <c r="K92" s="91" t="str">
        <v>MG20243487432</v>
      </c>
      <c r="L92" s="92"/>
      <c r="M92" s="92"/>
      <c r="N92" s="93"/>
    </row>
    <row r="93" spans="1:19" ht="14.25">
      <c r="A93"/>
      <c r="B93"/>
      <c r="C93"/>
      <c r="D93"/>
      <c r="E93"/>
      <c r="F93"/>
      <c r="G93"/>
      <c r="I93" t="str">
        <f t="shared" ca="1" si="1"/>
        <v/>
      </c>
      <c r="J93" s="90"/>
      <c r="K93" s="94"/>
      <c r="L93" s="92"/>
      <c r="M93" s="92"/>
      <c r="N93" s="93"/>
    </row>
    <row r="94" spans="1:19" ht="15.75">
      <c r="A94"/>
      <c r="B94"/>
      <c r="C94"/>
      <c r="D94"/>
      <c r="E94"/>
      <c r="F94"/>
      <c r="G94"/>
      <c r="I94" t="str">
        <f ca="1">IF($S$109=0,"","F")</f>
        <v/>
      </c>
      <c r="J94" s="689" t="s">
        <v>192</v>
      </c>
      <c r="K94" s="689"/>
      <c r="L94" s="689"/>
      <c r="M94" s="689"/>
      <c r="N94" s="689"/>
      <c r="O94" s="689"/>
      <c r="P94" s="689"/>
      <c r="Q94" s="689"/>
      <c r="R94" s="689"/>
      <c r="S94" s="689"/>
    </row>
    <row r="95" spans="1:19">
      <c r="A95"/>
      <c r="B95"/>
      <c r="C95"/>
      <c r="D95"/>
      <c r="E95"/>
      <c r="F95"/>
      <c r="G95"/>
      <c r="I95" t="str">
        <f t="shared" ref="I95:I132" ca="1" si="2">IF($S$109=0,"","F")</f>
        <v/>
      </c>
    </row>
    <row r="96" spans="1:19">
      <c r="A96"/>
      <c r="B96"/>
      <c r="C96"/>
      <c r="D96"/>
      <c r="E96"/>
      <c r="F96"/>
      <c r="G96"/>
      <c r="I96" t="str">
        <f t="shared" ca="1" si="2"/>
        <v/>
      </c>
      <c r="J96" s="680" t="s">
        <v>157</v>
      </c>
      <c r="K96" s="680"/>
      <c r="L96" s="680"/>
      <c r="M96" s="680"/>
      <c r="N96" s="680"/>
      <c r="O96" s="680"/>
      <c r="P96" s="680"/>
      <c r="Q96" s="680"/>
      <c r="R96" s="680"/>
      <c r="S96" s="680"/>
    </row>
    <row r="97" spans="1:26">
      <c r="A97"/>
      <c r="B97"/>
      <c r="C97"/>
      <c r="D97"/>
      <c r="E97"/>
      <c r="F97"/>
      <c r="G97"/>
      <c r="I97" t="str">
        <f t="shared" ca="1" si="2"/>
        <v/>
      </c>
      <c r="J97" s="686" t="s">
        <v>409</v>
      </c>
      <c r="K97" s="686"/>
      <c r="L97" s="686"/>
      <c r="M97" s="686"/>
      <c r="N97" s="686"/>
      <c r="O97" s="686"/>
      <c r="P97" s="686"/>
      <c r="Q97" s="686"/>
      <c r="R97" s="686"/>
      <c r="S97" s="686"/>
    </row>
    <row r="98" spans="1:26">
      <c r="A98"/>
      <c r="B98"/>
      <c r="C98"/>
      <c r="D98"/>
      <c r="E98"/>
      <c r="F98"/>
      <c r="G98"/>
      <c r="I98" t="str">
        <f t="shared" ca="1" si="2"/>
        <v/>
      </c>
    </row>
    <row r="99" spans="1:26" ht="12.75" customHeight="1">
      <c r="A99"/>
      <c r="B99"/>
      <c r="C99"/>
      <c r="D99"/>
      <c r="E99"/>
      <c r="F99"/>
      <c r="G99"/>
      <c r="I99" t="str">
        <f t="shared" ca="1" si="2"/>
        <v/>
      </c>
      <c r="J99" s="688" t="s">
        <v>158</v>
      </c>
      <c r="K99" s="688"/>
      <c r="L99" s="688"/>
      <c r="M99" s="688"/>
      <c r="N99" s="688"/>
      <c r="O99" s="688"/>
      <c r="P99" s="688"/>
      <c r="Q99" s="688"/>
      <c r="R99" s="688" t="s">
        <v>159</v>
      </c>
      <c r="S99" s="687" t="s">
        <v>160</v>
      </c>
      <c r="U99" s="687" t="s">
        <v>161</v>
      </c>
      <c r="V99" s="687"/>
      <c r="W99" s="687"/>
      <c r="X99" s="685" t="s">
        <v>162</v>
      </c>
      <c r="Y99" s="685" t="s">
        <v>163</v>
      </c>
      <c r="Z99" s="685" t="s">
        <v>164</v>
      </c>
    </row>
    <row r="100" spans="1:26" ht="12.75" customHeight="1">
      <c r="A100"/>
      <c r="B100"/>
      <c r="C100"/>
      <c r="D100"/>
      <c r="E100"/>
      <c r="F100"/>
      <c r="G100"/>
      <c r="I100" t="str">
        <f t="shared" ca="1" si="2"/>
        <v/>
      </c>
      <c r="J100" s="688"/>
      <c r="K100" s="688"/>
      <c r="L100" s="688"/>
      <c r="M100" s="688"/>
      <c r="N100" s="688"/>
      <c r="O100" s="688"/>
      <c r="P100" s="688"/>
      <c r="Q100" s="688"/>
      <c r="R100" s="688"/>
      <c r="S100" s="687"/>
      <c r="U100" s="687"/>
      <c r="V100" s="687"/>
      <c r="W100" s="687"/>
      <c r="X100" s="685"/>
      <c r="Y100" s="685"/>
      <c r="Z100" s="685"/>
    </row>
    <row r="101" spans="1:26" ht="15" customHeight="1">
      <c r="A101"/>
      <c r="B101"/>
      <c r="C101"/>
      <c r="D101"/>
      <c r="E101"/>
      <c r="F101"/>
      <c r="G101"/>
      <c r="I101" t="str">
        <f t="shared" ca="1" si="2"/>
        <v/>
      </c>
      <c r="J101" s="690" t="str">
        <f>IF($J$17=$A$146,"Encargos Sociais incidentes sobre a mão de obra","Administração Central")</f>
        <v>Administração Central</v>
      </c>
      <c r="K101" s="690"/>
      <c r="L101" s="690"/>
      <c r="M101" s="690"/>
      <c r="N101" s="690"/>
      <c r="O101" s="690"/>
      <c r="P101" s="690"/>
      <c r="Q101" s="690"/>
      <c r="R101" s="72" t="str">
        <f>IF($J97=$A$146,"K1","AC")</f>
        <v>AC</v>
      </c>
      <c r="S101" s="73"/>
      <c r="U101" s="691" t="s">
        <v>166</v>
      </c>
      <c r="V101" s="691"/>
      <c r="W101" s="691"/>
      <c r="X101" s="74" t="e">
        <f>VLOOKUP(CONCATENATE(J97,"-",R101),$C$2:$G$136,3,FALSE)</f>
        <v>#N/A</v>
      </c>
      <c r="Y101" s="74" t="e">
        <f>VLOOKUP(CONCATENATE(J97,"-",R101),$C$2:$G$136,4,FALSE)</f>
        <v>#N/A</v>
      </c>
      <c r="Z101" s="74" t="e">
        <f>VLOOKUP(CONCATENATE(J97,"-",R101),$C$2:$G$136,5,FALSE)</f>
        <v>#N/A</v>
      </c>
    </row>
    <row r="102" spans="1:26" ht="15" customHeight="1">
      <c r="A102"/>
      <c r="B102"/>
      <c r="C102"/>
      <c r="D102"/>
      <c r="E102"/>
      <c r="F102"/>
      <c r="G102"/>
      <c r="I102" t="str">
        <f t="shared" ca="1" si="2"/>
        <v/>
      </c>
      <c r="J102" s="690" t="str">
        <f>IF($J$17=$A$146,"Administração Central da empresa ou consultoria - overhead","Seguro e Garantia")</f>
        <v>Seguro e Garantia</v>
      </c>
      <c r="K102" s="690"/>
      <c r="L102" s="690"/>
      <c r="M102" s="690"/>
      <c r="N102" s="690"/>
      <c r="O102" s="690"/>
      <c r="P102" s="690"/>
      <c r="Q102" s="690"/>
      <c r="R102" s="72" t="str">
        <f>IF($J97=$A$146,"K2","SG")</f>
        <v>SG</v>
      </c>
      <c r="S102" s="73"/>
      <c r="U102" s="691" t="s">
        <v>166</v>
      </c>
      <c r="V102" s="691"/>
      <c r="W102" s="691"/>
      <c r="X102" s="74" t="e">
        <f>VLOOKUP(CONCATENATE(J97,"-",R102),$C$2:$G$136,3,FALSE)</f>
        <v>#N/A</v>
      </c>
      <c r="Y102" s="74" t="e">
        <f>VLOOKUP(CONCATENATE(J97,"-",R102),$C$2:$G$136,4,FALSE)</f>
        <v>#N/A</v>
      </c>
      <c r="Z102" s="74" t="e">
        <f>VLOOKUP(CONCATENATE(J97,"-",R102),$C$2:$G$136,5,FALSE)</f>
        <v>#N/A</v>
      </c>
    </row>
    <row r="103" spans="1:26" ht="15" customHeight="1">
      <c r="A103"/>
      <c r="B103"/>
      <c r="C103"/>
      <c r="D103"/>
      <c r="E103"/>
      <c r="F103"/>
      <c r="G103"/>
      <c r="I103" t="str">
        <f t="shared" ca="1" si="2"/>
        <v/>
      </c>
      <c r="J103" s="690" t="str">
        <f>IF($J$17=$A$146,"","Risco")</f>
        <v>Risco</v>
      </c>
      <c r="K103" s="690"/>
      <c r="L103" s="690"/>
      <c r="M103" s="690"/>
      <c r="N103" s="690"/>
      <c r="O103" s="690"/>
      <c r="P103" s="690"/>
      <c r="Q103" s="690"/>
      <c r="R103" s="72" t="str">
        <f>IF($J97=$A$146,"","R")</f>
        <v>R</v>
      </c>
      <c r="S103" s="73"/>
      <c r="U103" s="691" t="s">
        <v>166</v>
      </c>
      <c r="V103" s="691"/>
      <c r="W103" s="691"/>
      <c r="X103" s="74" t="e">
        <f>VLOOKUP(CONCATENATE(J97,"-",R103),$C$2:$G$136,3,FALSE)</f>
        <v>#N/A</v>
      </c>
      <c r="Y103" s="74" t="e">
        <f>VLOOKUP(CONCATENATE(J97,"-",R103),$C$2:$G$136,4,FALSE)</f>
        <v>#N/A</v>
      </c>
      <c r="Z103" s="74" t="e">
        <f>VLOOKUP(CONCATENATE(J97,"-",R103),$C$2:$G$136,5,FALSE)</f>
        <v>#N/A</v>
      </c>
    </row>
    <row r="104" spans="1:26" ht="15" customHeight="1">
      <c r="A104"/>
      <c r="B104"/>
      <c r="C104"/>
      <c r="D104"/>
      <c r="E104"/>
      <c r="F104"/>
      <c r="G104"/>
      <c r="I104" t="str">
        <f t="shared" ca="1" si="2"/>
        <v/>
      </c>
      <c r="J104" s="690" t="str">
        <f>IF($J$17=$A$146,"","Despesas Financeiras")</f>
        <v>Despesas Financeiras</v>
      </c>
      <c r="K104" s="690"/>
      <c r="L104" s="690"/>
      <c r="M104" s="690"/>
      <c r="N104" s="690"/>
      <c r="O104" s="690"/>
      <c r="P104" s="690"/>
      <c r="Q104" s="690"/>
      <c r="R104" s="72" t="str">
        <f>IF($J97=$A$146,"","DF")</f>
        <v>DF</v>
      </c>
      <c r="S104" s="73"/>
      <c r="U104" s="691" t="s">
        <v>166</v>
      </c>
      <c r="V104" s="691"/>
      <c r="W104" s="691"/>
      <c r="X104" s="74" t="e">
        <f>VLOOKUP(CONCATENATE(J97,"-",R104),$C$2:$G$136,3,FALSE)</f>
        <v>#N/A</v>
      </c>
      <c r="Y104" s="74" t="e">
        <f>VLOOKUP(CONCATENATE(J97,"-",R104),$C$2:$G$136,4,FALSE)</f>
        <v>#N/A</v>
      </c>
      <c r="Z104" s="74" t="e">
        <f>VLOOKUP(CONCATENATE(J97,"-",R104),$C$2:$G$136,5,FALSE)</f>
        <v>#N/A</v>
      </c>
    </row>
    <row r="105" spans="1:26" ht="15" customHeight="1">
      <c r="A105"/>
      <c r="B105"/>
      <c r="C105"/>
      <c r="D105"/>
      <c r="E105"/>
      <c r="F105"/>
      <c r="G105"/>
      <c r="I105" t="str">
        <f t="shared" ca="1" si="2"/>
        <v/>
      </c>
      <c r="J105" s="690" t="str">
        <f>IF($J$17=$A$146,"Margem bruta da empresa de consultoria","Lucro")</f>
        <v>Lucro</v>
      </c>
      <c r="K105" s="690"/>
      <c r="L105" s="690"/>
      <c r="M105" s="690"/>
      <c r="N105" s="690"/>
      <c r="O105" s="690"/>
      <c r="P105" s="690"/>
      <c r="Q105" s="690"/>
      <c r="R105" s="72" t="str">
        <f>IF($J97=$A$146,"K3","L")</f>
        <v>L</v>
      </c>
      <c r="S105" s="73"/>
      <c r="U105" s="691" t="s">
        <v>166</v>
      </c>
      <c r="V105" s="691"/>
      <c r="W105" s="691"/>
      <c r="X105" s="74" t="e">
        <f>VLOOKUP(CONCATENATE(J97,"-",R105),$C$2:$G$136,3,FALSE)</f>
        <v>#N/A</v>
      </c>
      <c r="Y105" s="74" t="e">
        <f>VLOOKUP(CONCATENATE(J97,"-",R105),$C$2:$G$136,4,FALSE)</f>
        <v>#N/A</v>
      </c>
      <c r="Z105" s="74" t="e">
        <f>VLOOKUP(CONCATENATE(J97,"-",R105),$C$2:$G$136,5,FALSE)</f>
        <v>#N/A</v>
      </c>
    </row>
    <row r="106" spans="1:26" ht="15" customHeight="1">
      <c r="A106"/>
      <c r="B106"/>
      <c r="C106"/>
      <c r="D106"/>
      <c r="E106"/>
      <c r="F106"/>
      <c r="G106"/>
      <c r="I106" t="str">
        <f t="shared" ca="1" si="2"/>
        <v/>
      </c>
      <c r="J106" s="690" t="s">
        <v>168</v>
      </c>
      <c r="K106" s="690"/>
      <c r="L106" s="690"/>
      <c r="M106" s="690"/>
      <c r="N106" s="690"/>
      <c r="O106" s="690"/>
      <c r="P106" s="690"/>
      <c r="Q106" s="690"/>
      <c r="R106" s="72" t="s">
        <v>169</v>
      </c>
      <c r="S106" s="73"/>
      <c r="U106" s="691" t="s">
        <v>166</v>
      </c>
      <c r="V106" s="691"/>
      <c r="W106" s="691"/>
      <c r="X106" s="74">
        <v>3.6499999999999998E-2</v>
      </c>
      <c r="Y106" s="74">
        <v>3.6499999999999998E-2</v>
      </c>
      <c r="Z106" s="74">
        <v>3.6499999999999998E-2</v>
      </c>
    </row>
    <row r="107" spans="1:26" ht="15" customHeight="1">
      <c r="A107"/>
      <c r="B107"/>
      <c r="C107"/>
      <c r="D107"/>
      <c r="E107"/>
      <c r="F107"/>
      <c r="G107"/>
      <c r="I107" t="str">
        <f t="shared" ca="1" si="2"/>
        <v/>
      </c>
      <c r="J107" s="690" t="s">
        <v>170</v>
      </c>
      <c r="K107" s="690"/>
      <c r="L107" s="690"/>
      <c r="M107" s="690"/>
      <c r="N107" s="690"/>
      <c r="O107" s="690"/>
      <c r="P107" s="690"/>
      <c r="Q107" s="690"/>
      <c r="R107" s="72" t="s">
        <v>171</v>
      </c>
      <c r="S107" s="74">
        <f ca="1">IF(AND($J97&lt;&gt;$A$145,COUNTA(OFFSET(S100,1,0,6))&gt;0),$R$11*$R$10,0)</f>
        <v>0</v>
      </c>
      <c r="U107" s="691" t="s">
        <v>166</v>
      </c>
      <c r="V107" s="691"/>
      <c r="W107" s="691"/>
      <c r="X107" s="74">
        <v>0</v>
      </c>
      <c r="Y107" s="74">
        <v>2.5000000000000001E-2</v>
      </c>
      <c r="Z107" s="74">
        <v>0.05</v>
      </c>
    </row>
    <row r="108" spans="1:26" ht="15" customHeight="1">
      <c r="A108"/>
      <c r="B108"/>
      <c r="C108"/>
      <c r="D108"/>
      <c r="E108"/>
      <c r="F108"/>
      <c r="G108"/>
      <c r="I108" t="str">
        <f t="shared" ca="1" si="2"/>
        <v/>
      </c>
      <c r="J108" s="690" t="s">
        <v>172</v>
      </c>
      <c r="K108" s="690"/>
      <c r="L108" s="690"/>
      <c r="M108" s="690"/>
      <c r="N108" s="690"/>
      <c r="O108" s="690"/>
      <c r="P108" s="690"/>
      <c r="Q108" s="690"/>
      <c r="R108" s="72" t="s">
        <v>173</v>
      </c>
      <c r="S108" s="74">
        <f ca="1">IF(BDI.Opcao&lt;&gt;"Desonerado",0,IF(AND($J97&lt;&gt;$A$145,COUNTA(OFFSET(S100,1,0,6))&gt;0),4.5%,0%))</f>
        <v>0</v>
      </c>
      <c r="U108" s="691" t="s">
        <v>166</v>
      </c>
      <c r="V108" s="691"/>
      <c r="W108" s="691"/>
      <c r="X108" s="75">
        <v>0</v>
      </c>
      <c r="Y108" s="75">
        <v>4.4999999999999998E-2</v>
      </c>
      <c r="Z108" s="75">
        <v>4.4999999999999998E-2</v>
      </c>
    </row>
    <row r="109" spans="1:26" ht="15" customHeight="1">
      <c r="A109"/>
      <c r="B109"/>
      <c r="C109"/>
      <c r="D109"/>
      <c r="E109"/>
      <c r="F109"/>
      <c r="G109"/>
      <c r="I109" t="str">
        <f t="shared" ca="1" si="2"/>
        <v/>
      </c>
      <c r="J109" s="690" t="s">
        <v>174</v>
      </c>
      <c r="K109" s="690"/>
      <c r="L109" s="690"/>
      <c r="M109" s="690"/>
      <c r="N109" s="690"/>
      <c r="O109" s="690"/>
      <c r="P109" s="690"/>
      <c r="Q109" s="690"/>
      <c r="R109" s="76" t="s">
        <v>150</v>
      </c>
      <c r="S109" s="74">
        <f ca="1">IF($J97=$A$145,0,ROUND((((1+S101+S102+S103)*(1+S104)*(1+S105)/(1-(S106+S107)))-1),4))</f>
        <v>0</v>
      </c>
      <c r="U109" s="687" t="e">
        <f ca="1">IF(OR($J$17=$A$146,$J$17=$A$145,AND(S109&gt;=X109,S109&lt;=Z109)),"OK","FORA DO INTERVALO")</f>
        <v>#N/A</v>
      </c>
      <c r="V109" s="687"/>
      <c r="W109" s="687"/>
      <c r="X109" s="74" t="e">
        <f>IF($J97=$A$145,0,VLOOKUP(CONCATENATE($J97,"-",$R109),$C$2:$G$136,3,FALSE))</f>
        <v>#N/A</v>
      </c>
      <c r="Y109" s="74" t="e">
        <f>IF($J97=$A$145,0,VLOOKUP(CONCATENATE($J97,"-",$R109),$C$2:$G$136,4,FALSE))</f>
        <v>#N/A</v>
      </c>
      <c r="Z109" s="74" t="e">
        <f>IF($J97=$A$145,0,VLOOKUP(CONCATENATE($J97,"-",$R109),$C$2:$G$136,5,FALSE))</f>
        <v>#N/A</v>
      </c>
    </row>
    <row r="110" spans="1:26" ht="15" customHeight="1">
      <c r="A110"/>
      <c r="B110"/>
      <c r="C110"/>
      <c r="D110"/>
      <c r="E110"/>
      <c r="F110"/>
      <c r="G110"/>
      <c r="I110" t="str">
        <f t="shared" ca="1" si="2"/>
        <v/>
      </c>
      <c r="J110" s="694" t="s">
        <v>175</v>
      </c>
      <c r="K110" s="694"/>
      <c r="L110" s="694"/>
      <c r="M110" s="694"/>
      <c r="N110" s="694"/>
      <c r="O110" s="694"/>
      <c r="P110" s="694"/>
      <c r="Q110" s="694"/>
      <c r="R110" s="77" t="s">
        <v>176</v>
      </c>
      <c r="S110" s="78">
        <f ca="1">IF($J97=$A$145,0,ROUND((((1+S101+S102+S103)*(1+S104)*(1+S105)/(1-(S106+S107+S108)))-1),4))</f>
        <v>0</v>
      </c>
    </row>
    <row r="111" spans="1:26" ht="25.5" customHeight="1">
      <c r="A111"/>
      <c r="B111"/>
      <c r="C111"/>
      <c r="D111"/>
      <c r="E111"/>
      <c r="F111"/>
      <c r="G111"/>
      <c r="I111" t="str">
        <f t="shared" ca="1" si="2"/>
        <v/>
      </c>
    </row>
    <row r="112" spans="1:26" ht="15.75">
      <c r="A112"/>
      <c r="B112"/>
      <c r="C112"/>
      <c r="D112"/>
      <c r="E112"/>
      <c r="F112"/>
      <c r="G112"/>
      <c r="I112" t="str">
        <f t="shared" ca="1" si="2"/>
        <v/>
      </c>
      <c r="J112" s="79" t="e">
        <f ca="1">IF(U109&lt;&gt;"ok","X","")</f>
        <v>#N/A</v>
      </c>
      <c r="K112" s="695" t="e">
        <f ca="1">IF(U109&lt;&gt;"ok","Anexo: Relatório Técnico Circunstanciado justificando a adoção do percentual de cada parcela do BDI.","")</f>
        <v>#N/A</v>
      </c>
      <c r="L112" s="695"/>
      <c r="M112" s="695"/>
      <c r="N112" s="695"/>
      <c r="O112" s="695"/>
      <c r="P112" s="695"/>
      <c r="Q112" s="695"/>
      <c r="R112" s="695"/>
      <c r="S112" s="695"/>
    </row>
    <row r="113" spans="1:19">
      <c r="A113"/>
      <c r="B113"/>
      <c r="C113"/>
      <c r="D113"/>
      <c r="E113"/>
      <c r="F113"/>
      <c r="G113"/>
      <c r="I113" t="str">
        <f t="shared" ca="1" si="2"/>
        <v/>
      </c>
    </row>
    <row r="114" spans="1:19">
      <c r="A114"/>
      <c r="B114"/>
      <c r="C114"/>
      <c r="D114"/>
      <c r="E114"/>
      <c r="F114"/>
      <c r="G114"/>
      <c r="I114" t="str">
        <f t="shared" ca="1" si="2"/>
        <v/>
      </c>
      <c r="J114" s="696" t="s">
        <v>178</v>
      </c>
      <c r="K114" s="696"/>
      <c r="L114" s="696"/>
      <c r="M114" s="696"/>
      <c r="N114" s="696"/>
      <c r="O114" s="696"/>
      <c r="P114" s="696"/>
      <c r="Q114" s="696"/>
      <c r="R114" s="696"/>
      <c r="S114" s="696"/>
    </row>
    <row r="115" spans="1:19" ht="15.75">
      <c r="A115"/>
      <c r="B115"/>
      <c r="C115"/>
      <c r="D115"/>
      <c r="E115"/>
      <c r="F115"/>
      <c r="G115"/>
      <c r="I115" t="str">
        <f t="shared" ca="1" si="2"/>
        <v/>
      </c>
      <c r="J115" s="80"/>
      <c r="K115" s="80"/>
      <c r="L115" s="80"/>
      <c r="M115" s="697" t="s">
        <v>179</v>
      </c>
      <c r="N115" s="703" t="str">
        <f>IF($J97=$A$146,"(1+K1+K2)*(1+K3)","(1+AC + S + R + G)*(1 + DF)*(1+L)")</f>
        <v>(1+AC + S + R + G)*(1 + DF)*(1+L)</v>
      </c>
      <c r="O115" s="703"/>
      <c r="P115" s="703"/>
      <c r="Q115" s="704" t="s">
        <v>180</v>
      </c>
      <c r="R115" s="80"/>
      <c r="S115" s="80"/>
    </row>
    <row r="116" spans="1:19" ht="15.75">
      <c r="A116"/>
      <c r="B116"/>
      <c r="C116"/>
      <c r="D116"/>
      <c r="E116"/>
      <c r="F116"/>
      <c r="G116"/>
      <c r="I116" t="str">
        <f t="shared" ca="1" si="2"/>
        <v/>
      </c>
      <c r="J116" s="80"/>
      <c r="K116" s="80"/>
      <c r="L116" s="80"/>
      <c r="M116" s="697"/>
      <c r="N116" s="692" t="s">
        <v>181</v>
      </c>
      <c r="O116" s="692"/>
      <c r="P116" s="692"/>
      <c r="Q116" s="704"/>
      <c r="R116" s="80"/>
      <c r="S116" s="80"/>
    </row>
    <row r="117" spans="1:19" ht="15" customHeight="1">
      <c r="A117"/>
      <c r="B117"/>
      <c r="C117"/>
      <c r="D117"/>
      <c r="E117"/>
      <c r="F117"/>
      <c r="G117"/>
      <c r="I117" t="str">
        <f t="shared" ca="1" si="2"/>
        <v/>
      </c>
      <c r="J117" s="80"/>
      <c r="K117" s="80"/>
      <c r="L117" s="80"/>
      <c r="M117" s="81"/>
      <c r="N117" s="83"/>
      <c r="O117" s="83"/>
      <c r="P117" s="83"/>
      <c r="Q117" s="82"/>
      <c r="R117" s="80"/>
      <c r="S117" s="80"/>
    </row>
    <row r="118" spans="1:19" ht="50.1" customHeight="1">
      <c r="A118"/>
      <c r="B118"/>
      <c r="C118"/>
      <c r="D118"/>
      <c r="E118"/>
      <c r="F118"/>
      <c r="G118"/>
      <c r="I118" t="str">
        <f t="shared" ca="1" si="2"/>
        <v/>
      </c>
      <c r="J118" s="693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3%, com a respectiva alíquota de 4,65%.</v>
      </c>
      <c r="K118" s="693"/>
      <c r="L118" s="693"/>
      <c r="M118" s="693"/>
      <c r="N118" s="693"/>
      <c r="O118" s="693"/>
      <c r="P118" s="693"/>
      <c r="Q118" s="693"/>
      <c r="R118" s="693"/>
      <c r="S118" s="693"/>
    </row>
    <row r="119" spans="1:19">
      <c r="A119"/>
      <c r="B119"/>
      <c r="C119"/>
      <c r="D119"/>
      <c r="E119"/>
      <c r="F119"/>
      <c r="G119"/>
      <c r="I119" t="str">
        <f t="shared" ca="1" si="2"/>
        <v/>
      </c>
    </row>
    <row r="120" spans="1:19" ht="50.1" customHeight="1">
      <c r="A120"/>
      <c r="B120"/>
      <c r="C120"/>
      <c r="D120"/>
      <c r="E120"/>
      <c r="F120"/>
      <c r="G120"/>
      <c r="I120" t="str">
        <f t="shared" ca="1" si="2"/>
        <v/>
      </c>
      <c r="J120" s="693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120" s="693"/>
      <c r="L120" s="693"/>
      <c r="M120" s="693"/>
      <c r="N120" s="693"/>
      <c r="O120" s="693"/>
      <c r="P120" s="693"/>
      <c r="Q120" s="693"/>
      <c r="R120" s="693"/>
      <c r="S120" s="693"/>
    </row>
    <row r="121" spans="1:19">
      <c r="A121"/>
      <c r="B121"/>
      <c r="C121"/>
      <c r="D121"/>
      <c r="E121"/>
      <c r="F121"/>
      <c r="G121"/>
      <c r="I121" t="str">
        <f t="shared" ca="1" si="2"/>
        <v/>
      </c>
    </row>
    <row r="122" spans="1:19">
      <c r="A122"/>
      <c r="B122"/>
      <c r="C122"/>
      <c r="D122"/>
      <c r="E122"/>
      <c r="F122"/>
      <c r="G122"/>
      <c r="I122" t="str">
        <f t="shared" ca="1" si="2"/>
        <v/>
      </c>
      <c r="J122" s="61" t="s">
        <v>187</v>
      </c>
    </row>
    <row r="123" spans="1:19" ht="110.1" customHeight="1">
      <c r="A123"/>
      <c r="B123"/>
      <c r="C123"/>
      <c r="D123"/>
      <c r="E123"/>
      <c r="F123"/>
      <c r="G123"/>
      <c r="I123" t="str">
        <f t="shared" ca="1" si="2"/>
        <v/>
      </c>
      <c r="J123" s="705"/>
      <c r="K123" s="705"/>
      <c r="L123" s="705"/>
      <c r="M123" s="705"/>
      <c r="N123" s="705"/>
      <c r="O123" s="705"/>
      <c r="P123" s="705"/>
      <c r="Q123" s="705"/>
      <c r="R123" s="705"/>
      <c r="S123" s="705"/>
    </row>
    <row r="124" spans="1:19">
      <c r="A124"/>
      <c r="B124"/>
      <c r="C124"/>
      <c r="D124"/>
      <c r="E124"/>
      <c r="F124"/>
      <c r="G124"/>
      <c r="I124" t="str">
        <f t="shared" ca="1" si="2"/>
        <v/>
      </c>
    </row>
    <row r="125" spans="1:19">
      <c r="A125"/>
      <c r="B125"/>
      <c r="C125"/>
      <c r="D125"/>
      <c r="E125"/>
      <c r="F125"/>
      <c r="G125"/>
      <c r="I125" t="str">
        <f t="shared" ca="1" si="2"/>
        <v/>
      </c>
      <c r="J125" s="699" t="str">
        <f>Import.Município</f>
        <v>PAINS/MG</v>
      </c>
      <c r="K125" s="699"/>
      <c r="L125" s="699"/>
      <c r="M125" s="699"/>
      <c r="P125" s="700">
        <f ca="1">DADOS!$F$25</f>
        <v>45609</v>
      </c>
      <c r="Q125" s="700"/>
      <c r="R125" s="700"/>
      <c r="S125" s="700"/>
    </row>
    <row r="126" spans="1:19">
      <c r="A126"/>
      <c r="B126"/>
      <c r="C126"/>
      <c r="D126"/>
      <c r="E126"/>
      <c r="F126"/>
      <c r="G126"/>
      <c r="I126" t="str">
        <f t="shared" ca="1" si="2"/>
        <v/>
      </c>
      <c r="J126" s="701" t="s">
        <v>188</v>
      </c>
      <c r="K126" s="701"/>
      <c r="L126" s="701"/>
      <c r="M126" s="701"/>
      <c r="O126" s="85"/>
      <c r="P126" s="86" t="s">
        <v>189</v>
      </c>
      <c r="Q126" s="87"/>
      <c r="R126" s="87"/>
      <c r="S126" s="87"/>
    </row>
    <row r="127" spans="1:19" ht="30" customHeight="1">
      <c r="A127"/>
      <c r="B127"/>
      <c r="C127"/>
      <c r="D127"/>
      <c r="E127"/>
      <c r="F127"/>
      <c r="G127"/>
      <c r="I127" t="str">
        <f t="shared" ca="1" si="2"/>
        <v/>
      </c>
    </row>
    <row r="128" spans="1:19" ht="15">
      <c r="A128"/>
      <c r="B128"/>
      <c r="C128"/>
      <c r="D128"/>
      <c r="E128"/>
      <c r="F128"/>
      <c r="G128"/>
      <c r="I128" t="str">
        <f t="shared" ca="1" si="2"/>
        <v/>
      </c>
      <c r="J128" s="702"/>
      <c r="K128" s="702"/>
      <c r="L128" s="702"/>
      <c r="M128" s="702"/>
      <c r="N128" s="88"/>
    </row>
    <row r="129" spans="1:14">
      <c r="A129"/>
      <c r="B129"/>
      <c r="C129"/>
      <c r="D129"/>
      <c r="E129"/>
      <c r="F129"/>
      <c r="G129"/>
      <c r="I129" t="str">
        <f t="shared" ca="1" si="2"/>
        <v/>
      </c>
      <c r="J129" s="698" t="s">
        <v>190</v>
      </c>
      <c r="K129" s="698"/>
      <c r="L129" s="698"/>
      <c r="M129" s="698"/>
      <c r="N129" s="89"/>
    </row>
    <row r="130" spans="1:14" ht="14.25">
      <c r="A130"/>
      <c r="B130"/>
      <c r="C130"/>
      <c r="D130"/>
      <c r="E130"/>
      <c r="F130"/>
      <c r="G130"/>
      <c r="I130" t="str">
        <f t="shared" ca="1" si="2"/>
        <v/>
      </c>
      <c r="J130" s="90" t="s">
        <v>108</v>
      </c>
      <c r="K130" s="91" t="str">
        <f t="array" ref="K130:K132">Import.RespOrçamento</f>
        <v>VINÍCIUS HENRIQUE ALVES</v>
      </c>
      <c r="L130" s="92"/>
      <c r="M130" s="92"/>
      <c r="N130" s="93"/>
    </row>
    <row r="131" spans="1:14" ht="14.25">
      <c r="A131"/>
      <c r="B131"/>
      <c r="C131"/>
      <c r="D131"/>
      <c r="E131"/>
      <c r="F131"/>
      <c r="G131"/>
      <c r="I131" t="str">
        <f t="shared" ca="1" si="2"/>
        <v/>
      </c>
      <c r="J131" s="90" t="s">
        <v>109</v>
      </c>
      <c r="K131" s="91" t="str">
        <v>253.246/D</v>
      </c>
      <c r="L131" s="92"/>
      <c r="M131" s="92"/>
      <c r="N131" s="93"/>
    </row>
    <row r="132" spans="1:14" ht="14.25">
      <c r="A132"/>
      <c r="B132"/>
      <c r="C132"/>
      <c r="D132"/>
      <c r="E132"/>
      <c r="F132"/>
      <c r="G132"/>
      <c r="I132" t="str">
        <f t="shared" ca="1" si="2"/>
        <v/>
      </c>
      <c r="J132" s="90" t="s">
        <v>110</v>
      </c>
      <c r="K132" s="91" t="str">
        <v>MG20243487432</v>
      </c>
      <c r="L132" s="92"/>
      <c r="M132" s="92"/>
      <c r="N132" s="93"/>
    </row>
    <row r="133" spans="1:14">
      <c r="A133"/>
      <c r="B133"/>
      <c r="C133"/>
      <c r="D133"/>
      <c r="E133"/>
      <c r="F133"/>
      <c r="G133"/>
    </row>
    <row r="134" spans="1:14">
      <c r="A134"/>
      <c r="B134"/>
      <c r="C134"/>
      <c r="D134"/>
      <c r="E134"/>
      <c r="F134"/>
      <c r="G134"/>
    </row>
    <row r="135" spans="1:14">
      <c r="A135"/>
      <c r="B135"/>
      <c r="C135"/>
      <c r="D135"/>
      <c r="E135"/>
      <c r="F135"/>
      <c r="G135"/>
    </row>
    <row r="136" spans="1:14">
      <c r="A136"/>
      <c r="B136"/>
      <c r="C136"/>
      <c r="D136"/>
      <c r="E136"/>
      <c r="F136"/>
      <c r="G136"/>
    </row>
    <row r="137" spans="1:14">
      <c r="A137"/>
      <c r="B137"/>
      <c r="C137"/>
      <c r="D137"/>
      <c r="E137"/>
      <c r="F137"/>
      <c r="G137"/>
    </row>
    <row r="138" spans="1:14">
      <c r="A138" s="61" t="s">
        <v>409</v>
      </c>
    </row>
    <row r="139" spans="1:14">
      <c r="A139" s="61" t="s">
        <v>141</v>
      </c>
    </row>
    <row r="140" spans="1:14">
      <c r="A140" s="61" t="s">
        <v>152</v>
      </c>
    </row>
    <row r="141" spans="1:14">
      <c r="A141" s="61" t="s">
        <v>155</v>
      </c>
    </row>
    <row r="142" spans="1:14">
      <c r="A142" s="61" t="s">
        <v>165</v>
      </c>
    </row>
    <row r="143" spans="1:14">
      <c r="A143" s="61" t="s">
        <v>167</v>
      </c>
    </row>
    <row r="144" spans="1:14">
      <c r="A144" s="61" t="s">
        <v>177</v>
      </c>
    </row>
    <row r="145" spans="1:1">
      <c r="A145" s="61" t="s">
        <v>182</v>
      </c>
    </row>
    <row r="146" spans="1:1">
      <c r="A146" s="61" t="s">
        <v>183</v>
      </c>
    </row>
  </sheetData>
  <sheetProtection sheet="1" objects="1" scenarios="1" autoFilter="0"/>
  <autoFilter ref="I11:I132"/>
  <mergeCells count="144">
    <mergeCell ref="J129:M129"/>
    <mergeCell ref="J120:S120"/>
    <mergeCell ref="J123:S123"/>
    <mergeCell ref="J125:M125"/>
    <mergeCell ref="P125:S125"/>
    <mergeCell ref="J126:M126"/>
    <mergeCell ref="J128:M128"/>
    <mergeCell ref="N116:P116"/>
    <mergeCell ref="J108:Q108"/>
    <mergeCell ref="U108:W108"/>
    <mergeCell ref="J109:Q109"/>
    <mergeCell ref="U109:W109"/>
    <mergeCell ref="J110:Q110"/>
    <mergeCell ref="K112:S112"/>
    <mergeCell ref="J118:S118"/>
    <mergeCell ref="I6:I10"/>
    <mergeCell ref="J114:S114"/>
    <mergeCell ref="J107:Q107"/>
    <mergeCell ref="M115:M116"/>
    <mergeCell ref="J105:Q105"/>
    <mergeCell ref="J103:Q103"/>
    <mergeCell ref="J69:Q69"/>
    <mergeCell ref="N115:P115"/>
    <mergeCell ref="Q115:Q116"/>
    <mergeCell ref="J102:Q102"/>
    <mergeCell ref="U102:W102"/>
    <mergeCell ref="U105:W105"/>
    <mergeCell ref="J106:Q106"/>
    <mergeCell ref="U106:W106"/>
    <mergeCell ref="J104:Q104"/>
    <mergeCell ref="U104:W104"/>
    <mergeCell ref="U103:W103"/>
    <mergeCell ref="U107:W107"/>
    <mergeCell ref="Y99:Y100"/>
    <mergeCell ref="Z99:Z100"/>
    <mergeCell ref="J99:Q100"/>
    <mergeCell ref="R99:R100"/>
    <mergeCell ref="S99:S100"/>
    <mergeCell ref="X99:X100"/>
    <mergeCell ref="J101:Q101"/>
    <mergeCell ref="U101:W101"/>
    <mergeCell ref="J96:S96"/>
    <mergeCell ref="J97:S97"/>
    <mergeCell ref="U99:W100"/>
    <mergeCell ref="J66:Q66"/>
    <mergeCell ref="U66:W66"/>
    <mergeCell ref="U67:W67"/>
    <mergeCell ref="J68:Q68"/>
    <mergeCell ref="U68:W68"/>
    <mergeCell ref="J94:S94"/>
    <mergeCell ref="J85:M85"/>
    <mergeCell ref="P85:S85"/>
    <mergeCell ref="J67:Q67"/>
    <mergeCell ref="J78:S78"/>
    <mergeCell ref="J70:Q70"/>
    <mergeCell ref="K72:S72"/>
    <mergeCell ref="J89:M89"/>
    <mergeCell ref="U69:W69"/>
    <mergeCell ref="J86:M86"/>
    <mergeCell ref="J88:M88"/>
    <mergeCell ref="J74:S74"/>
    <mergeCell ref="M75:M76"/>
    <mergeCell ref="J80:S80"/>
    <mergeCell ref="J83:S83"/>
    <mergeCell ref="N76:P76"/>
    <mergeCell ref="N75:P75"/>
    <mergeCell ref="Q75:Q76"/>
    <mergeCell ref="J56:S56"/>
    <mergeCell ref="J57:S57"/>
    <mergeCell ref="J64:Q64"/>
    <mergeCell ref="U64:W64"/>
    <mergeCell ref="J62:Q62"/>
    <mergeCell ref="U62:W62"/>
    <mergeCell ref="J63:Q63"/>
    <mergeCell ref="U63:W63"/>
    <mergeCell ref="J65:Q65"/>
    <mergeCell ref="U65:W65"/>
    <mergeCell ref="Y59:Y60"/>
    <mergeCell ref="Z59:Z60"/>
    <mergeCell ref="J59:Q60"/>
    <mergeCell ref="R59:R60"/>
    <mergeCell ref="S59:S60"/>
    <mergeCell ref="U59:W60"/>
    <mergeCell ref="X59:X60"/>
    <mergeCell ref="J61:Q61"/>
    <mergeCell ref="U61:W61"/>
    <mergeCell ref="J49:M49"/>
    <mergeCell ref="J54:S54"/>
    <mergeCell ref="J45:M45"/>
    <mergeCell ref="P45:S45"/>
    <mergeCell ref="J46:M46"/>
    <mergeCell ref="J48:M48"/>
    <mergeCell ref="N35:P35"/>
    <mergeCell ref="Q35:Q36"/>
    <mergeCell ref="J40:S40"/>
    <mergeCell ref="J43:S43"/>
    <mergeCell ref="J27:Q27"/>
    <mergeCell ref="U27:W27"/>
    <mergeCell ref="J28:Q28"/>
    <mergeCell ref="U28:W28"/>
    <mergeCell ref="J24:Q24"/>
    <mergeCell ref="U24:W24"/>
    <mergeCell ref="N36:P36"/>
    <mergeCell ref="J38:S38"/>
    <mergeCell ref="J30:Q30"/>
    <mergeCell ref="K32:S32"/>
    <mergeCell ref="J29:Q29"/>
    <mergeCell ref="U29:W29"/>
    <mergeCell ref="J34:S34"/>
    <mergeCell ref="M35:M36"/>
    <mergeCell ref="J23:Q23"/>
    <mergeCell ref="U23:W23"/>
    <mergeCell ref="J21:Q21"/>
    <mergeCell ref="U21:W21"/>
    <mergeCell ref="J22:Q22"/>
    <mergeCell ref="U22:W22"/>
    <mergeCell ref="J25:Q25"/>
    <mergeCell ref="U25:W25"/>
    <mergeCell ref="J26:Q26"/>
    <mergeCell ref="U26:W26"/>
    <mergeCell ref="X19:X20"/>
    <mergeCell ref="Y19:Y20"/>
    <mergeCell ref="J17:S17"/>
    <mergeCell ref="Z19:Z20"/>
    <mergeCell ref="U19:W20"/>
    <mergeCell ref="J19:Q20"/>
    <mergeCell ref="R19:R20"/>
    <mergeCell ref="S19:S20"/>
    <mergeCell ref="J14:S14"/>
    <mergeCell ref="J16:S16"/>
    <mergeCell ref="J5:K5"/>
    <mergeCell ref="L5:M5"/>
    <mergeCell ref="N5:S5"/>
    <mergeCell ref="R1:S1"/>
    <mergeCell ref="R2:S2"/>
    <mergeCell ref="J4:K4"/>
    <mergeCell ref="L4:M4"/>
    <mergeCell ref="N4:S4"/>
    <mergeCell ref="J11:Q11"/>
    <mergeCell ref="R11:S11"/>
    <mergeCell ref="J7:S7"/>
    <mergeCell ref="J8:S8"/>
    <mergeCell ref="J10:Q10"/>
    <mergeCell ref="R10:S10"/>
  </mergeCells>
  <phoneticPr fontId="37" type="noConversion"/>
  <conditionalFormatting sqref="J30:S30 J70:S70 J110:S110">
    <cfRule type="expression" dxfId="137" priority="2" stopIfTrue="1">
      <formula>DESONERACAO="não"</formula>
    </cfRule>
  </conditionalFormatting>
  <conditionalFormatting sqref="U29:W29 U69:W69 U109:W109">
    <cfRule type="expression" dxfId="136" priority="3" stopIfTrue="1">
      <formula>AND(U29&lt;&gt;"OK",U29&lt;&gt;"-",U29&lt;&gt;"")</formula>
    </cfRule>
    <cfRule type="cellIs" dxfId="135" priority="4" stopIfTrue="1" operator="equal">
      <formula>"OK"</formula>
    </cfRule>
  </conditionalFormatting>
  <conditionalFormatting sqref="S29 S69 S109">
    <cfRule type="expression" dxfId="134" priority="5" stopIfTrue="1">
      <formula>DESONERACAO="não"</formula>
    </cfRule>
  </conditionalFormatting>
  <dataValidations count="6">
    <dataValidation type="decimal" allowBlank="1" showErrorMessage="1" errorTitle="Erro de valores" error="Digite um valor entre 0% e 100%" sqref="S21:S26 S61:S66 S101:S106">
      <formula1>0</formula1>
      <formula2>1</formula2>
    </dataValidation>
    <dataValidation type="decimal" allowBlank="1" showErrorMessage="1" errorTitle="Erro de valores" error="Digite um valor maior do que 0." sqref="S27 S67 S107">
      <formula1>0</formula1>
      <formula2>1</formula2>
    </dataValidation>
    <dataValidation operator="greaterThanOrEqual" allowBlank="1" showErrorMessage="1" errorTitle="Erro de valores" error="Digite um valor igual a 0% ou 2%." sqref="S28 S68 S108">
      <formula1>0</formula1>
      <formula2>0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R11:S11">
      <formula1>0</formula1>
      <formula2>0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R10:S10">
      <formula1>0</formula1>
      <formula2>1</formula2>
    </dataValidation>
    <dataValidation type="list" allowBlank="1" showErrorMessage="1" sqref="J17:S17 J57:S57 J97:S97">
      <formula1>BDI.TipoObra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79" firstPageNumber="0" fitToHeight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Plan5">
    <pageSetUpPr fitToPage="1"/>
  </sheetPr>
  <dimension ref="A1:AN60"/>
  <sheetViews>
    <sheetView showGridLines="0" tabSelected="1" zoomScale="90" zoomScaleNormal="90" zoomScaleSheetLayoutView="90" workbookViewId="0">
      <pane xSplit="19" ySplit="15" topLeftCell="T19" activePane="bottomRight" state="frozen"/>
      <selection activeCell="L1" sqref="L1"/>
      <selection pane="topRight" activeCell="T1" sqref="T1"/>
      <selection pane="bottomLeft" activeCell="L16" sqref="L16"/>
      <selection pane="bottomRight" activeCell="R21" sqref="R21"/>
    </sheetView>
  </sheetViews>
  <sheetFormatPr defaultRowHeight="12.75"/>
  <cols>
    <col min="1" max="1" width="5.5703125" hidden="1" customWidth="1"/>
    <col min="2" max="2" width="10.42578125" hidden="1" customWidth="1"/>
    <col min="3" max="3" width="5.5703125" hidden="1" customWidth="1"/>
    <col min="4" max="4" width="12.85546875" hidden="1" customWidth="1"/>
    <col min="5" max="5" width="8.7109375" hidden="1" customWidth="1"/>
    <col min="6" max="6" width="12.42578125" hidden="1" customWidth="1"/>
    <col min="7" max="7" width="14.5703125" hidden="1" customWidth="1"/>
    <col min="8" max="8" width="11.28515625" hidden="1" customWidth="1"/>
    <col min="9" max="9" width="13.42578125" hidden="1" customWidth="1"/>
    <col min="10" max="10" width="7.28515625" hidden="1" customWidth="1"/>
    <col min="11" max="11" width="7.5703125" hidden="1" customWidth="1"/>
    <col min="12" max="12" width="3.7109375" customWidth="1"/>
    <col min="13" max="14" width="8.7109375" customWidth="1"/>
    <col min="15" max="15" width="12.7109375" customWidth="1"/>
    <col min="16" max="17" width="15.7109375" customWidth="1"/>
    <col min="18" max="18" width="65.7109375" customWidth="1"/>
    <col min="19" max="19" width="10.7109375" customWidth="1"/>
    <col min="20" max="21" width="14.7109375" customWidth="1"/>
    <col min="22" max="22" width="10.7109375" customWidth="1"/>
    <col min="23" max="23" width="14.7109375" customWidth="1"/>
    <col min="24" max="24" width="15.7109375" customWidth="1"/>
    <col min="25" max="25" width="3.7109375" customWidth="1"/>
    <col min="26" max="26" width="3.7109375" hidden="1" customWidth="1"/>
    <col min="27" max="28" width="14.7109375" hidden="1" customWidth="1"/>
    <col min="29" max="29" width="15.7109375" customWidth="1"/>
    <col min="30" max="31" width="9.140625" hidden="1" customWidth="1"/>
    <col min="32" max="32" width="15.5703125" hidden="1" customWidth="1"/>
    <col min="33" max="33" width="15.7109375" customWidth="1"/>
    <col min="35" max="35" width="1.7109375" customWidth="1"/>
    <col min="36" max="36" width="14.7109375" customWidth="1"/>
    <col min="37" max="37" width="1.7109375" customWidth="1"/>
    <col min="38" max="38" width="14.7109375" customWidth="1"/>
    <col min="39" max="40" width="15.7109375" customWidth="1"/>
  </cols>
  <sheetData>
    <row r="1" spans="1:40" ht="18">
      <c r="A1" s="95"/>
      <c r="B1" s="95"/>
      <c r="C1" s="95"/>
      <c r="D1" s="95"/>
      <c r="F1" s="96"/>
      <c r="G1" s="3"/>
      <c r="H1" s="95"/>
      <c r="I1" s="95"/>
      <c r="J1" s="95"/>
      <c r="K1" s="95"/>
      <c r="L1" s="95"/>
      <c r="M1" s="97"/>
      <c r="N1" s="97"/>
      <c r="O1" s="95"/>
      <c r="P1" s="95"/>
      <c r="Q1" s="95"/>
      <c r="R1" s="98" t="s">
        <v>193</v>
      </c>
      <c r="S1" s="95"/>
      <c r="T1" s="98"/>
      <c r="U1" s="95"/>
      <c r="V1" s="95"/>
      <c r="W1" s="95"/>
      <c r="X1" s="64" t="s">
        <v>140</v>
      </c>
      <c r="Y1" s="99"/>
      <c r="Z1" s="99"/>
      <c r="AA1" s="99"/>
      <c r="AB1" s="99"/>
      <c r="AC1" s="100"/>
      <c r="AD1" s="100"/>
      <c r="AG1" s="100"/>
      <c r="AH1" s="100"/>
      <c r="AN1" s="100"/>
    </row>
    <row r="2" spans="1:40" ht="15">
      <c r="A2" s="100"/>
      <c r="B2" s="100"/>
      <c r="C2" s="100"/>
      <c r="D2" s="101" t="s">
        <v>194</v>
      </c>
      <c r="E2" s="101" t="s">
        <v>195</v>
      </c>
      <c r="F2" s="101" t="s">
        <v>196</v>
      </c>
      <c r="G2" s="101" t="s">
        <v>197</v>
      </c>
      <c r="H2" s="101" t="s">
        <v>198</v>
      </c>
      <c r="I2" s="101" t="s">
        <v>199</v>
      </c>
      <c r="J2" s="100"/>
      <c r="K2" s="100"/>
      <c r="L2" s="100"/>
      <c r="M2" s="100"/>
      <c r="N2" s="100"/>
      <c r="O2" s="100"/>
      <c r="P2" s="100"/>
      <c r="Q2" s="100"/>
      <c r="R2" s="102" t="str">
        <f>IF(TIPOORCAMENTO="licitado","Orçamento Licitado","Orçamento Base para Licitação")&amp;" - "&amp;import.recurso</f>
        <v>Orçamento Base para Licitação - OGU</v>
      </c>
      <c r="S2" s="100"/>
      <c r="T2" s="100"/>
      <c r="U2" s="100"/>
      <c r="V2" s="100"/>
      <c r="W2" s="100"/>
      <c r="X2" s="14" t="s">
        <v>143</v>
      </c>
      <c r="Y2" s="103"/>
      <c r="Z2" s="103"/>
      <c r="AA2" s="103"/>
      <c r="AB2" s="103"/>
      <c r="AC2" s="100"/>
      <c r="AD2" s="100"/>
      <c r="AH2" s="100"/>
    </row>
    <row r="3" spans="1:40">
      <c r="A3" s="100"/>
      <c r="B3" s="100"/>
      <c r="C3" s="100"/>
      <c r="D3" s="100"/>
      <c r="F3" s="96"/>
      <c r="H3" s="104"/>
      <c r="I3" s="100"/>
      <c r="J3" s="100"/>
      <c r="K3" s="100"/>
      <c r="L3" s="100"/>
      <c r="M3" s="100"/>
      <c r="N3" s="100"/>
      <c r="O3" s="100"/>
      <c r="P3" s="100"/>
      <c r="Q3" s="100"/>
      <c r="R3" s="105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G3" s="100"/>
      <c r="AH3" s="100"/>
      <c r="AN3" s="100"/>
    </row>
    <row r="4" spans="1:40">
      <c r="A4" s="100" t="s">
        <v>201</v>
      </c>
      <c r="B4" s="100"/>
      <c r="C4" s="100"/>
      <c r="D4" s="100"/>
      <c r="F4" s="96" t="s">
        <v>156</v>
      </c>
      <c r="G4" s="96" t="s">
        <v>191</v>
      </c>
      <c r="H4" s="96" t="s">
        <v>192</v>
      </c>
      <c r="I4" s="106">
        <v>0</v>
      </c>
      <c r="J4" s="100"/>
      <c r="K4" s="100"/>
      <c r="L4" s="100"/>
      <c r="M4" s="100"/>
      <c r="N4" s="100"/>
      <c r="O4" s="680" t="s">
        <v>146</v>
      </c>
      <c r="P4" s="680"/>
      <c r="Q4" s="107" t="s">
        <v>442</v>
      </c>
      <c r="R4" s="107" t="s">
        <v>147</v>
      </c>
      <c r="S4" s="680" t="s">
        <v>202</v>
      </c>
      <c r="T4" s="680"/>
      <c r="U4" s="680"/>
      <c r="V4" s="680"/>
      <c r="W4" s="680"/>
      <c r="X4" s="680"/>
      <c r="Y4" s="90"/>
      <c r="Z4" s="90"/>
      <c r="AA4" s="90"/>
      <c r="AB4" s="90"/>
      <c r="AC4" s="100"/>
      <c r="AG4" s="100"/>
      <c r="AH4" s="100"/>
      <c r="AN4" s="100"/>
    </row>
    <row r="5" spans="1:40" ht="12.75" customHeight="1">
      <c r="A5" s="110">
        <f ca="1">MAX($C$15:$C$43)</f>
        <v>2</v>
      </c>
      <c r="B5" s="110"/>
      <c r="C5" s="110"/>
      <c r="D5" s="100"/>
      <c r="F5" s="111">
        <f ca="1">IF(BDI.Opcao="DESONERADO",BDI!$S$30,BDI!$S$29)</f>
        <v>0.25679999999999997</v>
      </c>
      <c r="G5" s="112">
        <f ca="1">IF(BDI.Opcao="DESONERADO",BDI!$S$70,BDI!$S$69)</f>
        <v>0</v>
      </c>
      <c r="H5" s="112">
        <f ca="1">IF(BDI.Opcao="DESONERADO",BDI!$S$110,BDI!$S$109)</f>
        <v>0</v>
      </c>
      <c r="I5" s="100"/>
      <c r="J5" s="100"/>
      <c r="K5" s="100"/>
      <c r="L5" s="100"/>
      <c r="M5" s="100"/>
      <c r="N5" s="100"/>
      <c r="O5" s="677" t="str">
        <f>Import.CR</f>
        <v>17405-2024</v>
      </c>
      <c r="P5" s="677"/>
      <c r="Q5" s="113" t="str" cm="1">
        <f t="array" ref="Q5">Import.TransfereGOV</f>
        <v>965783/2024</v>
      </c>
      <c r="R5" s="114" t="str">
        <f>Import.Proponente</f>
        <v>MUNICÍPIO DE PAINS</v>
      </c>
      <c r="S5" s="677" t="str">
        <f>Import.Apelido</f>
        <v>RECAPEAMENTO DE VIA PÚBLICA</v>
      </c>
      <c r="T5" s="677"/>
      <c r="U5" s="677"/>
      <c r="V5" s="677"/>
      <c r="W5" s="677"/>
      <c r="X5" s="677"/>
      <c r="Y5" s="115"/>
      <c r="Z5" s="115"/>
      <c r="AA5" s="115"/>
      <c r="AB5" s="115"/>
      <c r="AC5" s="100"/>
      <c r="AE5" s="716" t="s">
        <v>200</v>
      </c>
      <c r="AF5" s="716"/>
    </row>
    <row r="6" spans="1:40" ht="5.0999999999999996" customHeight="1">
      <c r="A6" s="110"/>
      <c r="B6" s="110"/>
      <c r="C6" s="110"/>
      <c r="D6" s="100"/>
      <c r="F6" s="96"/>
      <c r="H6" s="104"/>
      <c r="I6" s="100"/>
      <c r="J6" s="100"/>
      <c r="K6" s="100"/>
      <c r="L6" s="100"/>
      <c r="M6" s="100"/>
      <c r="N6" s="100"/>
      <c r="O6" s="117"/>
      <c r="P6" s="117"/>
      <c r="Q6" s="118"/>
      <c r="R6" s="118"/>
      <c r="S6" s="117"/>
      <c r="T6" s="117"/>
      <c r="U6" s="117"/>
      <c r="V6" s="117"/>
      <c r="W6" s="117"/>
      <c r="X6" s="117"/>
      <c r="Y6" s="115"/>
      <c r="Z6" s="115"/>
      <c r="AA6" s="115"/>
      <c r="AB6" s="115"/>
      <c r="AC6" s="119"/>
      <c r="AE6" s="108"/>
      <c r="AF6" s="109"/>
      <c r="AG6" s="100"/>
      <c r="AH6" s="100"/>
      <c r="AN6" s="100"/>
    </row>
    <row r="7" spans="1:40" ht="12.75" customHeight="1">
      <c r="A7" s="100"/>
      <c r="B7" s="100"/>
      <c r="C7" s="100"/>
      <c r="D7" s="100"/>
      <c r="F7" s="96"/>
      <c r="H7" s="104"/>
      <c r="I7" s="100"/>
      <c r="J7" s="100"/>
      <c r="K7" s="100"/>
      <c r="L7" s="100"/>
      <c r="M7" s="100"/>
      <c r="N7" s="100"/>
      <c r="O7" s="680" t="s">
        <v>204</v>
      </c>
      <c r="P7" s="680"/>
      <c r="Q7" s="107" t="s">
        <v>205</v>
      </c>
      <c r="R7" s="107" t="str">
        <f>IF(TIPOORCAMENTO="Licitado","NOME DA EMPRESA","DESCRIÇÃO DO LOTE")</f>
        <v>DESCRIÇÃO DO LOTE</v>
      </c>
      <c r="S7" s="717" t="str">
        <f>IF(TIPOORCAMENTO="Licitado","REGIME DE EXECUÇÃO","MUNICÍPIO / UF")</f>
        <v>MUNICÍPIO / UF</v>
      </c>
      <c r="T7" s="717"/>
      <c r="U7" s="717"/>
      <c r="V7" s="121" t="str">
        <f>IF(TIPOORCAMENTO="Licitado","","BDI 1")</f>
        <v>BDI 1</v>
      </c>
      <c r="W7" s="121" t="str">
        <f>IF(TIPOORCAMENTO="Licitado","","BDI 2")</f>
        <v>BDI 2</v>
      </c>
      <c r="X7" s="122" t="str">
        <f>IF(TIPOORCAMENTO="Licitado","Nº CTEF","BDI 3")</f>
        <v>BDI 3</v>
      </c>
      <c r="Y7" s="121"/>
      <c r="Z7" s="121"/>
      <c r="AA7" s="123"/>
      <c r="AB7" s="123"/>
      <c r="AC7" s="96"/>
      <c r="AE7" s="108" t="s">
        <v>203</v>
      </c>
      <c r="AF7" s="116" t="b">
        <v>1</v>
      </c>
      <c r="AJ7" s="720" t="s">
        <v>207</v>
      </c>
      <c r="AL7" s="718" t="s">
        <v>208</v>
      </c>
    </row>
    <row r="8" spans="1:40" ht="12.75" customHeight="1">
      <c r="A8" s="110"/>
      <c r="B8" s="110"/>
      <c r="C8" s="110"/>
      <c r="D8" s="100"/>
      <c r="F8" s="714" t="str">
        <f ca="1">IF(LEN(INFO("release"))&gt;5,"'Referência "&amp;Excel_BuiltIn_Database&amp;".xlsm'#Banco.$a5:$a$65536","'[Referência "&amp;Excel_BuiltIn_Database&amp;".xlsm]Banco'!$a5:$a$65536")</f>
        <v>'[Referência 07-2024.xlsm]Banco'!$a5:$a$65536</v>
      </c>
      <c r="G8" s="714"/>
      <c r="H8" s="714"/>
      <c r="I8" s="714"/>
      <c r="J8" s="714"/>
      <c r="K8" s="714"/>
      <c r="L8" s="706" t="s">
        <v>209</v>
      </c>
      <c r="M8" s="100"/>
      <c r="N8" s="100"/>
      <c r="O8" s="677" t="str">
        <f ca="1">IF(ISERROR(INDIRECT($F$9)),"(N/D: 'Referência "&amp;Excel_BuiltIn_Database&amp;".xlsm)",INDIRECT($F$9))</f>
        <v>(N/D: 'Referência 07-2024.xlsm)</v>
      </c>
      <c r="P8" s="677"/>
      <c r="Q8" s="124" t="str">
        <f ca="1">TEXT(Import.DataBase,"mm-aa")&amp;IF(DESONERACAO="Sim"," (DES.)"," (N DES.)")</f>
        <v>07-24 (DES.)</v>
      </c>
      <c r="R8" s="114" t="str">
        <f>IF(TIPOORCAMENTO="Licitado",Import.empresa,Import.DescLote)</f>
        <v>RECAPEAMENDO DA ESTRADA MUNICIPAL SEBASTIÃO MANECA</v>
      </c>
      <c r="S8" s="715" t="str">
        <f>IF(TIPOORCAMENTO="Licitado",Import.RegimeExecução,Import.Município)</f>
        <v>PAINS/MG</v>
      </c>
      <c r="T8" s="715"/>
      <c r="U8" s="715"/>
      <c r="V8" s="125" t="str">
        <f ca="1">IF(TIPOORCAMENTO="Licitado","",TEXT(F5,"0,00%"))</f>
        <v>25,68%</v>
      </c>
      <c r="W8" s="125" t="str">
        <f ca="1">IF(TIPOORCAMENTO="Licitado","",TEXT(G5,"0,00%"))</f>
        <v>0,00%</v>
      </c>
      <c r="X8" s="126" t="str">
        <f ca="1">IF(TIPOORCAMENTO="Licitado",Import.CTEF,TEXT(H5,"0,00%"))</f>
        <v>0,00%</v>
      </c>
      <c r="Y8" s="706" t="s">
        <v>210</v>
      </c>
      <c r="Z8" s="706" t="s">
        <v>211</v>
      </c>
      <c r="AA8" s="127"/>
      <c r="AB8" s="127"/>
      <c r="AE8" s="108" t="s">
        <v>206</v>
      </c>
      <c r="AF8" s="116" t="b">
        <v>1</v>
      </c>
      <c r="AG8" s="100"/>
      <c r="AH8" s="100"/>
      <c r="AJ8" s="720"/>
      <c r="AL8" s="718"/>
      <c r="AN8" s="100"/>
    </row>
    <row r="9" spans="1:40" ht="12.75" customHeight="1">
      <c r="A9" s="100"/>
      <c r="B9" s="100"/>
      <c r="C9" s="100"/>
      <c r="D9" s="100"/>
      <c r="F9" s="714" t="str">
        <f ca="1">IF(LEN(INFO("release"))&gt;5,"'Referência "&amp;Excel_BuiltIn_Database&amp;".xlsm'#Banco.$d$3","'[Referência "&amp;Excel_BuiltIn_Database&amp;".xlsm]Banco'!$d$3")</f>
        <v>'[Referência 07-2024.xlsm]Banco'!$d$3</v>
      </c>
      <c r="G9" s="714"/>
      <c r="H9" s="714"/>
      <c r="I9" s="714"/>
      <c r="J9" s="714"/>
      <c r="K9" s="714"/>
      <c r="L9" s="706"/>
      <c r="M9" s="100"/>
      <c r="N9" s="100"/>
      <c r="O9" s="16"/>
      <c r="P9" s="100"/>
      <c r="Q9" s="100"/>
      <c r="R9" s="100"/>
      <c r="S9" s="100"/>
      <c r="T9" s="100"/>
      <c r="U9" s="100"/>
      <c r="V9" s="100"/>
      <c r="W9" s="100"/>
      <c r="X9" s="100"/>
      <c r="Y9" s="706"/>
      <c r="Z9" s="706"/>
      <c r="AA9" s="100"/>
      <c r="AB9" s="100"/>
      <c r="AC9" s="100"/>
      <c r="AD9" s="100"/>
      <c r="AE9" s="108" t="s">
        <v>212</v>
      </c>
      <c r="AF9" s="116" t="b">
        <v>1</v>
      </c>
      <c r="AG9" s="100"/>
      <c r="AJ9" s="720"/>
      <c r="AL9" s="718"/>
      <c r="AN9" s="100"/>
    </row>
    <row r="10" spans="1:40">
      <c r="A10" s="100"/>
      <c r="B10" s="100"/>
      <c r="C10" s="100"/>
      <c r="D10" s="100"/>
      <c r="E10" s="101"/>
      <c r="F10" s="101"/>
      <c r="G10" s="104"/>
      <c r="H10" s="104"/>
      <c r="I10" s="100"/>
      <c r="J10" s="100"/>
      <c r="K10" s="100"/>
      <c r="L10" s="706"/>
      <c r="M10" s="100"/>
      <c r="N10" s="100"/>
      <c r="O10" s="16"/>
      <c r="P10" s="100"/>
      <c r="Q10" s="100"/>
      <c r="R10" s="100"/>
      <c r="S10" s="100"/>
      <c r="T10" s="100"/>
      <c r="U10" s="100"/>
      <c r="V10" s="100"/>
      <c r="W10" s="100"/>
      <c r="X10" s="100"/>
      <c r="Y10" s="706"/>
      <c r="Z10" s="706"/>
      <c r="AC10" s="128" t="s">
        <v>214</v>
      </c>
      <c r="AD10" s="100"/>
      <c r="AE10" s="108" t="s">
        <v>213</v>
      </c>
      <c r="AF10" s="116" t="b">
        <v>1</v>
      </c>
      <c r="AG10" s="100"/>
      <c r="AH10" s="100"/>
      <c r="AJ10" s="720"/>
      <c r="AL10" s="718"/>
      <c r="AN10" s="100"/>
    </row>
    <row r="11" spans="1:40">
      <c r="A11" s="100"/>
      <c r="B11" s="100"/>
      <c r="C11" s="100"/>
      <c r="D11" s="100"/>
      <c r="E11" s="101"/>
      <c r="F11" s="101"/>
      <c r="G11" s="104"/>
      <c r="H11" s="129"/>
      <c r="I11" s="100"/>
      <c r="J11" s="100"/>
      <c r="K11" s="100"/>
      <c r="L11" s="706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706"/>
      <c r="Z11" s="706"/>
      <c r="AC11" s="130" t="str">
        <f ca="1">IF(COUNTIF($AC$15:OFFSET($AC$43,-1,0),"DESCRIÇÃO")+COUNTIF($AC$15:OFFSET($AC$43,-1,0),"UNIDADE")+COUNTIF($AC$15:OFFSET($AC$43,-1,0),"SEM VALOR")&gt;0,"NÃO OK","OK")</f>
        <v>OK</v>
      </c>
      <c r="AD11" s="100"/>
      <c r="AE11" s="108" t="s">
        <v>215</v>
      </c>
      <c r="AF11" s="116" t="b">
        <v>1</v>
      </c>
      <c r="AG11" s="100"/>
      <c r="AH11" s="100"/>
      <c r="AJ11" s="720"/>
      <c r="AL11" s="718"/>
      <c r="AN11" s="100"/>
    </row>
    <row r="12" spans="1:40">
      <c r="A12" s="100"/>
      <c r="B12" s="100"/>
      <c r="C12" s="100"/>
      <c r="D12" s="100"/>
      <c r="E12" s="101"/>
      <c r="F12" s="101"/>
      <c r="G12" s="104"/>
      <c r="H12" s="104"/>
      <c r="I12" s="100"/>
      <c r="J12" s="100"/>
      <c r="K12" s="100"/>
      <c r="L12" s="706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706"/>
      <c r="Z12" s="706"/>
      <c r="AA12" s="719" t="s">
        <v>216</v>
      </c>
      <c r="AB12" s="719"/>
      <c r="AC12" s="100"/>
      <c r="AD12" s="100"/>
      <c r="AE12" s="100"/>
      <c r="AF12" s="100"/>
      <c r="AG12" s="100"/>
      <c r="AH12" s="100"/>
      <c r="AJ12" s="131" t="s">
        <v>217</v>
      </c>
      <c r="AL12" s="633" t="s">
        <v>217</v>
      </c>
      <c r="AN12" s="100"/>
    </row>
    <row r="13" spans="1:40" ht="35.1" customHeight="1">
      <c r="A13" s="132" t="s">
        <v>218</v>
      </c>
      <c r="B13" s="132" t="s">
        <v>219</v>
      </c>
      <c r="C13" s="132" t="s">
        <v>220</v>
      </c>
      <c r="D13" s="132" t="s">
        <v>221</v>
      </c>
      <c r="E13" s="132" t="s">
        <v>222</v>
      </c>
      <c r="F13" s="132" t="s">
        <v>223</v>
      </c>
      <c r="G13" s="132" t="s">
        <v>224</v>
      </c>
      <c r="H13" s="132" t="s">
        <v>225</v>
      </c>
      <c r="I13" s="132" t="s">
        <v>226</v>
      </c>
      <c r="J13" s="132" t="s">
        <v>227</v>
      </c>
      <c r="K13" s="132" t="s">
        <v>228</v>
      </c>
      <c r="L13" s="131" t="s">
        <v>217</v>
      </c>
      <c r="M13" s="132" t="s">
        <v>229</v>
      </c>
      <c r="N13" s="133" t="s">
        <v>230</v>
      </c>
      <c r="O13" s="132" t="s">
        <v>231</v>
      </c>
      <c r="P13" s="132" t="s">
        <v>232</v>
      </c>
      <c r="Q13" s="132" t="s">
        <v>233</v>
      </c>
      <c r="R13" s="132" t="s">
        <v>234</v>
      </c>
      <c r="S13" s="134" t="s">
        <v>235</v>
      </c>
      <c r="T13" s="132" t="s">
        <v>203</v>
      </c>
      <c r="U13" s="132" t="str">
        <f>IF(TIPOORCAMENTO="Licitado","","Custo Unitário (sem BDI) (R$)")</f>
        <v>Custo Unitário (sem BDI) (R$)</v>
      </c>
      <c r="V13" s="132" t="str">
        <f>IF(TIPOORCAMENTO="Licitado","","BDI(%)")</f>
        <v>BDI(%)</v>
      </c>
      <c r="W13" s="132" t="s">
        <v>236</v>
      </c>
      <c r="X13" s="132" t="s">
        <v>237</v>
      </c>
      <c r="Y13" s="131" t="s">
        <v>217</v>
      </c>
      <c r="Z13" s="131" t="s">
        <v>217</v>
      </c>
      <c r="AA13" s="135" t="s">
        <v>238</v>
      </c>
      <c r="AB13" s="136" t="s">
        <v>239</v>
      </c>
      <c r="AC13" s="132" t="s">
        <v>240</v>
      </c>
      <c r="AD13" s="137" t="s">
        <v>241</v>
      </c>
      <c r="AE13" s="137" t="s">
        <v>242</v>
      </c>
      <c r="AF13" s="137" t="s">
        <v>243</v>
      </c>
      <c r="AG13" s="197" t="s">
        <v>418</v>
      </c>
      <c r="AH13" s="573" t="str">
        <f>IF(TIPOORCAMENTO="LICITADO","Valor BDI Edital","Valor BDI")</f>
        <v>Valor BDI</v>
      </c>
      <c r="AJ13" s="379" t="s">
        <v>203</v>
      </c>
      <c r="AL13" s="379" t="s">
        <v>236</v>
      </c>
      <c r="AM13" s="197" t="s">
        <v>244</v>
      </c>
      <c r="AN13" s="198" t="s">
        <v>414</v>
      </c>
    </row>
    <row r="14" spans="1:40" hidden="1">
      <c r="A14" t="str">
        <f>CHOOSE(1+LOG(1+2*(ORÇAMENTO.Nivel="Meta")+4*(ORÇAMENTO.Nivel="Nível 2")+8*(ORÇAMENTO.Nivel="Nível 3")+16*(ORÇAMENTO.Nivel="Nível 4")+32*(ORÇAMENTO.Nivel="Serviço"),2),0,1,2,3,4,"S")</f>
        <v>S</v>
      </c>
      <c r="B14" t="str">
        <f ca="1">IF(OR(C14="s",C14=0),OFFSET(B14,-1,0),C14)</f>
        <v>Save Nivel</v>
      </c>
      <c r="C14" t="str">
        <f ca="1">IF(OFFSET(C14,-1,0)="L",1,IF(OFFSET(C14,-1,0)=1,2,IF(OR(A14="s",A14=0),"S",IF(AND(OFFSET(C14,-1,0)=2,A14=4),3,IF(AND(OR(OFFSET(C14,-1,0)="s",OFFSET(C14,-1,0)=0),A14&lt;&gt;"s",A14&gt;OFFSET(B14,-1,0)),OFFSET(B14,-1,0),A14)))))</f>
        <v>S</v>
      </c>
      <c r="D14">
        <f ca="1">IF(OR(C14="S",C14=0),0,IF(ISERROR(K14),J14,SMALL(J14:K14,1)))</f>
        <v>0</v>
      </c>
      <c r="E14" t="str">
        <f ca="1">IF($C14=1,OFFSET(E14,-1,0)+MAX(1,COUNTIF(QCI!$A$13:$A$24,OFFSET(ORÇAMENTO!E14,-1,0))),OFFSET(E14,-1,0))</f>
        <v>n1</v>
      </c>
      <c r="F14" t="str">
        <f ca="1">IF($C14=1,0,IF($C14=2,OFFSET(F14,-1,0)+1,OFFSET(F14,-1,0)))</f>
        <v>n2</v>
      </c>
      <c r="G14" t="str">
        <f ca="1">IF(AND($C14&lt;=2,$C14&lt;&gt;0),0,IF($C14=3,OFFSET(G14,-1,0)+1,OFFSET(G14,-1,0)))</f>
        <v>n3</v>
      </c>
      <c r="H14" t="str">
        <f ca="1">IF(AND($C14&lt;=3,$C14&lt;&gt;0),0,IF($C14=4,OFFSET(H14,-1,0)+1,OFFSET(H14,-1,0)))</f>
        <v>n4</v>
      </c>
      <c r="I14" t="str">
        <f ca="1">IF(AND($C14&lt;=4,$C14&lt;&gt;0),0,IF(AND($C14="S",$X14&gt;0),OFFSET(I14,-1,0)+1,OFFSET(I14,-1,0)))</f>
        <v>n5</v>
      </c>
      <c r="J14">
        <f ca="1">IF(OR($C14="S",$C14=0),0,MATCH(0,OFFSET($D14,1,$C14,ROW($C$43)-ROW($C14)),0))</f>
        <v>0</v>
      </c>
      <c r="K14">
        <f ca="1">IF(OR($C14="S",$C14=0),0,MATCH(OFFSET($D14,0,$C14)+IF($C14&lt;&gt;1,1,COUNTIF(QCI!$A$13:$A$24,ORÇAMENTO!E14)),OFFSET($D14,1,$C14,ROW($C$43)-ROW($C14)),0))</f>
        <v>0</v>
      </c>
      <c r="L14" s="139" t="str">
        <f ca="1">IF(OR($X14&gt;0,$C14=1,$C14=2,$C14=3,$C14=4),"F","")</f>
        <v/>
      </c>
      <c r="M14" s="140" t="s">
        <v>199</v>
      </c>
      <c r="N14" s="141" t="str">
        <f ca="1">CHOOSE(1+LOG(1+2*(C14=1)+4*(C14=2)+8*(C14=3)+16*(C14=4)+32*(C14="S"),2),"","Meta","Nível 2","Nível 3","Nível 4","Serviço")</f>
        <v>Serviço</v>
      </c>
      <c r="O14" s="142" t="str">
        <f ca="1">IF(OR($C14=0,$L14=""),"-",CONCATENATE(E14&amp;".",IF(AND($A$5&gt;=2,$C14&gt;=2),F14&amp;".",""),IF(AND($A$5&gt;=3,$C14&gt;=3),G14&amp;".",""),IF(AND($A$5&gt;=4,$C14&gt;=4),H14&amp;".",""),IF($C14="S",I14&amp;".","")))</f>
        <v>-</v>
      </c>
      <c r="P14" s="143" t="s">
        <v>247</v>
      </c>
      <c r="Q14" s="144"/>
      <c r="R14" s="145" t="str">
        <f ca="1">IF($C14="S",REFERENCIA.Descricao,"(digite a descrição aqui)")</f>
        <v>(abra o arquivo 'Referência 07-2024.xlsm)</v>
      </c>
      <c r="S14" s="146" t="str">
        <f ca="1">REFERENCIA.Unidade</f>
        <v>-</v>
      </c>
      <c r="T14" s="147">
        <f ca="1">OFFSET(CÁLCULO!H$15,ROW($T14)-ROW(T$15),0)</f>
        <v>0</v>
      </c>
      <c r="U14" s="148"/>
      <c r="V14" s="149" t="s">
        <v>156</v>
      </c>
      <c r="W14" s="147">
        <f ca="1">IF($C14="S",ROUND(IF(TIPOORCAMENTO="Proposto",ORÇAMENTO.CustoUnitario*(1+$AH14),ORÇAMENTO.PrecoUnitarioLicitado),15-13*$AF$10),0)</f>
        <v>0</v>
      </c>
      <c r="X14" s="150">
        <f ca="1">IF($C14="S",IF(Import.TipoArredondamento&lt;&gt;"TransfereGOV",VTOTAL1,SUM(OFFSET(CÁLCULO!$AA$15,ROW($X14)-ROW($X$15),1):OFFSET(CÁLCULO!$AL$15,ROW($X14)-ROW($X$15),-1))),IF($C14=0,0,ROUND(SomaAgrup,15-13*$AF$11)))</f>
        <v>0</v>
      </c>
      <c r="Y14" s="151" t="s">
        <v>245</v>
      </c>
      <c r="Z14" t="str">
        <f ca="1">IF(AND($C14="S",$X14&gt;0),IF(ISBLANK($Y14),"RA",LEFT($Y14,2)),"")</f>
        <v/>
      </c>
      <c r="AA14" s="152">
        <f ca="1">IF($C14="S",IF($Z14="CP",$X14,IF($Z14="RA",(($X14)*QCI!$AA$3),0)),SomaAgrup)</f>
        <v>0</v>
      </c>
      <c r="AB14" s="153">
        <f ca="1">IF($C14="S",IF($Z14="OU",ROUND($X14,2),0),SomaAgrup)</f>
        <v>0</v>
      </c>
      <c r="AC14" s="154" t="str">
        <f ca="1">IF($N14="","",IF(ORÇAMENTO.Descricao="","DESCRIÇÃO",IF(AND($C14="S",ORÇAMENTO.Unidade=""),"UNIDADE",IF($X14&lt;0,"VALOR NEGATIVO",IF(OR(AND(TIPOORCAMENTO="Proposto",$AG14&lt;&gt;"",$AG14&gt;0,ORÇAMENTO.CustoUnitario&gt;$AG14),AND(TIPOORCAMENTO="LICITADO",ORÇAMENTO.PrecoUnitarioLicitado&gt;$AN14)),"ACIMA REF.","")))))</f>
        <v/>
      </c>
      <c r="AD14" s="100" t="str">
        <f ca="1">IF(C14&lt;=CRONO.NivelExibicao,MAX($AD$15:OFFSET(AD14,-1,0))+IF($C14&lt;&gt;1,1,MAX(1,COUNTIF(QCI!$A$13:$A$24,OFFSET($E14,-1,0)))),"")</f>
        <v/>
      </c>
      <c r="AE14" s="110" t="b">
        <f ca="1">IF(AND($C14="S",ORÇAMENTO.CodBarra&lt;&gt;""),IF(ORÇAMENTO.Fonte="",ORÇAMENTO.CodBarra,CONCATENATE(ORÇAMENTO.Fonte," ",ORÇAMENTO.CodBarra)))</f>
        <v>0</v>
      </c>
      <c r="AF14" s="155" t="str">
        <f ca="1">IF(ISERROR(INDIRECT(ORÇAMENTO.BancoRef)),"(abra o arquivo 'Referência "&amp;Excel_BuiltIn_Database&amp;".xlsm)",IF(OR($C14&lt;&gt;"S",ORÇAMENTO.CodBarra=""),"(Sem Código)",IF(ISERROR(MATCH($AE14,INDIRECT(ORÇAMENTO.BancoRef),0)),"(Código não identificado nas referências)",MATCH($AE14,INDIRECT(ORÇAMENTO.BancoRef),0))))</f>
        <v>(abra o arquivo 'Referência 07-2024.xlsm)</v>
      </c>
      <c r="AG14" s="574">
        <f ca="1">ROUND(IF(DESONERACAO="sim",REFERENCIA.Desonerado,REFERENCIA.NaoDesonerado),2)</f>
        <v>0</v>
      </c>
      <c r="AH14" s="575">
        <f ca="1">ROUND(IF(ISNUMBER(ORÇAMENTO.OpcaoBDI),ORÇAMENTO.OpcaoBDI,IF(LEFT(ORÇAMENTO.OpcaoBDI,3)="BDI",HLOOKUP(ORÇAMENTO.OpcaoBDI,$F$4:$H$5,2,FALSE),0)),15-11*$AF$9)</f>
        <v>0.25679999999999997</v>
      </c>
      <c r="AJ14" s="577"/>
      <c r="AL14" s="607"/>
      <c r="AM14" s="426">
        <f t="shared" ref="AM14:AM42" ca="1" si="0">$X14</f>
        <v>0</v>
      </c>
      <c r="AN14" s="650">
        <f ca="1">ROUND(ORÇAMENTO.CustoUnitario*(1+$AH14),2)</f>
        <v>0</v>
      </c>
    </row>
    <row r="15" spans="1:40">
      <c r="A15">
        <v>0</v>
      </c>
      <c r="C15" t="s">
        <v>149</v>
      </c>
      <c r="D15">
        <f ca="1">COUNTA(OFFSET(D15,1,0):D$43)</f>
        <v>27</v>
      </c>
      <c r="E15">
        <v>0</v>
      </c>
      <c r="L15" s="139" t="s">
        <v>246</v>
      </c>
      <c r="M15" s="156" t="str">
        <f>IF(TIPOORCAMENTO="LICITADO","CTEF","LOTE")</f>
        <v>LOTE</v>
      </c>
      <c r="N15" s="156" t="str">
        <f>IF(TIPOORCAMENTO="LICITADO","CTEF","LOTE")</f>
        <v>LOTE</v>
      </c>
      <c r="O15" s="708" t="str">
        <f>Import.DescLote</f>
        <v>RECAPEAMENDO DA ESTRADA MUNICIPAL SEBASTIÃO MANECA</v>
      </c>
      <c r="P15" s="708"/>
      <c r="Q15" s="708"/>
      <c r="R15" s="708"/>
      <c r="S15" s="157"/>
      <c r="T15" s="158"/>
      <c r="U15" s="158"/>
      <c r="V15" s="159"/>
      <c r="W15" s="158"/>
      <c r="X15" s="160">
        <f ca="1">SUMIF(OFFSET($C15,1,0,ROW(X43)-ROW(X15)-1),"S",OFFSET(X15,1,0,ROW(X43)-ROW(X15)-1))</f>
        <v>4133.84</v>
      </c>
      <c r="Y15" s="110"/>
      <c r="Z15" t="str">
        <f ca="1">IF(AND($C15="S",$X15&gt;0),LEFT($Y15,2),"")</f>
        <v/>
      </c>
      <c r="AA15" s="572">
        <f ca="1">SUMIF(OFFSET($C15,1,0,ROW(AA43)-ROW(AA15)-1),"S",OFFSET(AA15,1,0,ROW(AA43)-ROW(AA15)-1))</f>
        <v>0</v>
      </c>
      <c r="AB15" s="161">
        <f ca="1">SUMIF(OFFSET($C15,1,0,ROW(AB43)-ROW(AB15)-1),"S",OFFSET(AB15,1,0,ROW(AB43)-ROW(AB15)-1))</f>
        <v>0</v>
      </c>
      <c r="AC15" s="162"/>
      <c r="AD15" s="100"/>
      <c r="AE15" s="100"/>
      <c r="AF15" s="100"/>
      <c r="AG15" s="609"/>
      <c r="AH15" s="610"/>
      <c r="AJ15" s="576"/>
      <c r="AL15" s="608"/>
      <c r="AM15" s="651">
        <f t="shared" ca="1" si="0"/>
        <v>4133.84</v>
      </c>
      <c r="AN15" s="652"/>
    </row>
    <row r="16" spans="1:40">
      <c r="A16">
        <f t="shared" ref="A16:A39" si="1">CHOOSE(1+LOG(1+2*(ORÇAMENTO.Nivel="Meta")+4*(ORÇAMENTO.Nivel="Nível 2")+8*(ORÇAMENTO.Nivel="Nível 3")+16*(ORÇAMENTO.Nivel="Nível 4")+32*(ORÇAMENTO.Nivel="Serviço"),2),0,1,2,3,4,"S")</f>
        <v>1</v>
      </c>
      <c r="B16">
        <f t="shared" ref="B16:B39" ca="1" si="2">IF(OR(C16="s",C16=0),OFFSET(B16,-1,0),C16)</f>
        <v>1</v>
      </c>
      <c r="C16">
        <f t="shared" ref="C16:C39" ca="1" si="3">IF(OFFSET(C16,-1,0)="L",1,IF(OFFSET(C16,-1,0)=1,2,IF(OR(A16="s",A16=0),"S",IF(AND(OFFSET(C16,-1,0)=2,A16=4),3,IF(AND(OR(OFFSET(C16,-1,0)="s",OFFSET(C16,-1,0)=0),A16&lt;&gt;"s",A16&gt;OFFSET(B16,-1,0)),OFFSET(B16,-1,0),A16)))))</f>
        <v>1</v>
      </c>
      <c r="D16">
        <f t="shared" ref="D16:D39" ca="1" si="4">IF(OR(C16="S",C16=0),0,IF(ISERROR(K16),J16,SMALL(J16:K16,1)))</f>
        <v>27</v>
      </c>
      <c r="E16">
        <f ca="1">IF($C16=1,OFFSET(E16,-1,0)+MAX(1,COUNTIF(QCI!$A$13:$A$24,OFFSET(ORÇAMENTO!E16,-1,0))),OFFSET(E16,-1,0))</f>
        <v>1</v>
      </c>
      <c r="F16">
        <f t="shared" ref="F16:F39" ca="1" si="5">IF($C16=1,0,IF($C16=2,OFFSET(F16,-1,0)+1,OFFSET(F16,-1,0)))</f>
        <v>0</v>
      </c>
      <c r="G16">
        <f t="shared" ref="G16:G39" ca="1" si="6">IF(AND($C16&lt;=2,$C16&lt;&gt;0),0,IF($C16=3,OFFSET(G16,-1,0)+1,OFFSET(G16,-1,0)))</f>
        <v>0</v>
      </c>
      <c r="H16">
        <f t="shared" ref="H16:H39" ca="1" si="7">IF(AND($C16&lt;=3,$C16&lt;&gt;0),0,IF($C16=4,OFFSET(H16,-1,0)+1,OFFSET(H16,-1,0)))</f>
        <v>0</v>
      </c>
      <c r="I16">
        <f t="shared" ref="I16:I39" ca="1" si="8">IF(AND($C16&lt;=4,$C16&lt;&gt;0),0,IF(AND($C16="S",$X16&gt;0),OFFSET(I16,-1,0)+1,OFFSET(I16,-1,0)))</f>
        <v>0</v>
      </c>
      <c r="J16">
        <f t="shared" ref="J16:J42" ca="1" si="9">IF(OR($C16="S",$C16=0),0,MATCH(0,OFFSET($D16,1,$C16,ROW($C$43)-ROW($C16)),0))</f>
        <v>27</v>
      </c>
      <c r="K16" t="e">
        <f ca="1">IF(OR($C16="S",$C16=0),0,MATCH(OFFSET($D16,0,$C16)+IF($C16&lt;&gt;1,1,COUNTIF(QCI!$A$13:$A$24,ORÇAMENTO!E16)),OFFSET($D16,1,$C16,ROW($C$43)-ROW($C16)),0))</f>
        <v>#N/A</v>
      </c>
      <c r="L16" s="139" t="str">
        <f t="shared" ref="L16:L39" ca="1" si="10">IF(OR($X16&gt;0,$C16=1,$C16=2,$C16=3,$C16=4),"F","")</f>
        <v>F</v>
      </c>
      <c r="M16" s="140" t="s">
        <v>195</v>
      </c>
      <c r="N16" s="141" t="str">
        <f t="shared" ref="N16:N39" ca="1" si="11">CHOOSE(1+LOG(1+2*(C16=1)+4*(C16=2)+8*(C16=3)+16*(C16=4)+32*(C16="S"),2),"","Meta","Nível 2","Nível 3","Nível 4","Serviço")</f>
        <v>Meta</v>
      </c>
      <c r="O16" s="142" t="str">
        <f t="shared" ref="O16:O39" ca="1" si="12">IF(OR($C16=0,$L16=""),"-",CONCATENATE(E16&amp;".",IF(AND($A$5&gt;=2,$C16&gt;=2),F16&amp;".",""),IF(AND($A$5&gt;=3,$C16&gt;=3),G16&amp;".",""),IF(AND($A$5&gt;=4,$C16&gt;=4),H16&amp;".",""),IF($C16="S",I16&amp;".","")))</f>
        <v>1.</v>
      </c>
      <c r="P16" s="143" t="s">
        <v>247</v>
      </c>
      <c r="Q16" s="144"/>
      <c r="R16" s="145" t="str">
        <f ca="1">IF($C16="S",REFERENCIA.Descricao,"RECAPEAMENTO DE VIA PÚBLICA")</f>
        <v>RECAPEAMENTO DE VIA PÚBLICA</v>
      </c>
      <c r="S16" s="146" t="str">
        <f ca="1">REFERENCIA.Unidade</f>
        <v>-</v>
      </c>
      <c r="T16" s="147">
        <f ca="1">OFFSET(CÁLCULO!H$15,ROW($T16)-ROW(T$15),0)</f>
        <v>0</v>
      </c>
      <c r="U16" s="148"/>
      <c r="V16" s="149" t="s">
        <v>156</v>
      </c>
      <c r="W16" s="147">
        <f ca="1">IF($C16="S",ROUND(IF(TIPOORCAMENTO="Proposto",ORÇAMENTO.CustoUnitario*(1+$AH16),ORÇAMENTO.PrecoUnitarioLicitado),15-13*$AF$10),0)</f>
        <v>0</v>
      </c>
      <c r="X16" s="150">
        <f ca="1">IF($C16="S",IF(Import.TipoArredondamento&lt;&gt;"TransfereGOV",VTOTAL1,SUM(OFFSET(CÁLCULO!$AA$15,ROW($X16)-ROW($X$15),1):OFFSET(CÁLCULO!$AL$15,ROW($X16)-ROW($X$15),-1))),IF($C16=0,0,ROUND(SomaAgrup,15-13*$AF$11)))</f>
        <v>4133.84</v>
      </c>
      <c r="Y16" s="151" t="s">
        <v>245</v>
      </c>
      <c r="Z16" t="str">
        <f t="shared" ref="Z16:Z39" ca="1" si="13">IF(AND($C16="S",$X16&gt;0),IF(ISBLANK($Y16),"RA",LEFT($Y16,2)),"")</f>
        <v/>
      </c>
      <c r="AA16" s="152">
        <f ca="1">IF($C16="S",IF($Z16="CP",$X16,IF($Z16="RA",(($X16)*QCI!$AA$3),0)),SomaAgrup)</f>
        <v>0</v>
      </c>
      <c r="AB16" s="153">
        <f t="shared" ref="AB16:AB39" ca="1" si="14">IF($C16="S",IF($Z16="OU",ROUND($X16,2),0),SomaAgrup)</f>
        <v>0</v>
      </c>
      <c r="AC16" s="154" t="str">
        <f ca="1">IF($N16="","",IF(ORÇAMENTO.Descricao="","DESCRIÇÃO",IF(AND($C16="S",ORÇAMENTO.Unidade=""),"UNIDADE",IF($X16&lt;0,"VALOR NEGATIVO",IF(OR(AND(TIPOORCAMENTO="Proposto",$AG16&lt;&gt;"",$AG16&gt;0,ORÇAMENTO.CustoUnitario&gt;$AG16),AND(TIPOORCAMENTO="LICITADO",ORÇAMENTO.PrecoUnitarioLicitado&gt;$AN16)),"ACIMA REF.","")))))</f>
        <v/>
      </c>
      <c r="AD16" s="100">
        <f ca="1">IF(C16&lt;=CRONO.NivelExibicao,MAX($AD$15:OFFSET(AD16,-1,0))+IF($C16&lt;&gt;1,1,MAX(1,COUNTIF(QCI!$A$13:$A$24,OFFSET($E16,-1,0)))),"")</f>
        <v>1</v>
      </c>
      <c r="AE16" s="110" t="b">
        <f ca="1">IF(AND($C16="S",ORÇAMENTO.CodBarra&lt;&gt;""),IF(ORÇAMENTO.Fonte="",ORÇAMENTO.CodBarra,CONCATENATE(ORÇAMENTO.Fonte," ",ORÇAMENTO.CodBarra)))</f>
        <v>0</v>
      </c>
      <c r="AF16" s="155" t="str">
        <f ca="1">IF(ISERROR(INDIRECT(ORÇAMENTO.BancoRef)),"(abra o arquivo 'Referência "&amp;Excel_BuiltIn_Database&amp;".xlsm)",IF(OR($C16&lt;&gt;"S",ORÇAMENTO.CodBarra=""),"(Sem Código)",IF(ISERROR(MATCH($AE16,INDIRECT(ORÇAMENTO.BancoRef),0)),"(Código não identificado nas referências)",MATCH($AE16,INDIRECT(ORÇAMENTO.BancoRef),0))))</f>
        <v>(abra o arquivo 'Referência 07-2024.xlsm)</v>
      </c>
      <c r="AG16" s="574">
        <f ca="1">ROUND(IF(DESONERACAO="sim",REFERENCIA.Desonerado,REFERENCIA.NaoDesonerado),2)</f>
        <v>0</v>
      </c>
      <c r="AH16" s="575">
        <f t="shared" ref="AH16:AH39" ca="1" si="15">ROUND(IF(ISNUMBER(ORÇAMENTO.OpcaoBDI),ORÇAMENTO.OpcaoBDI,IF(LEFT(ORÇAMENTO.OpcaoBDI,3)="BDI",HLOOKUP(ORÇAMENTO.OpcaoBDI,$F$4:$H$5,2,FALSE),0)),15-11*$AF$9)</f>
        <v>0.25679999999999997</v>
      </c>
      <c r="AJ16" s="577"/>
      <c r="AL16" s="607"/>
      <c r="AM16" s="426">
        <f t="shared" ca="1" si="0"/>
        <v>4133.84</v>
      </c>
      <c r="AN16" s="650">
        <f t="shared" ref="AN16:AN39" ca="1" si="16">ROUND(ORÇAMENTO.CustoUnitario*(1+$AH16),2)</f>
        <v>0</v>
      </c>
    </row>
    <row r="17" spans="1:40">
      <c r="A17" t="str">
        <f t="shared" si="1"/>
        <v>S</v>
      </c>
      <c r="B17">
        <f t="shared" ca="1" si="2"/>
        <v>2</v>
      </c>
      <c r="C17">
        <f t="shared" ca="1" si="3"/>
        <v>2</v>
      </c>
      <c r="D17">
        <f t="shared" ca="1" si="4"/>
        <v>6</v>
      </c>
      <c r="E17">
        <f ca="1">IF($C17=1,OFFSET(E17,-1,0)+MAX(1,COUNTIF(QCI!$A$13:$A$24,OFFSET(ORÇAMENTO!E17,-1,0))),OFFSET(E17,-1,0))</f>
        <v>1</v>
      </c>
      <c r="F17">
        <f t="shared" ca="1" si="5"/>
        <v>1</v>
      </c>
      <c r="G17">
        <f t="shared" ca="1" si="6"/>
        <v>0</v>
      </c>
      <c r="H17">
        <f t="shared" ca="1" si="7"/>
        <v>0</v>
      </c>
      <c r="I17">
        <f t="shared" ca="1" si="8"/>
        <v>0</v>
      </c>
      <c r="J17">
        <f t="shared" ca="1" si="9"/>
        <v>26</v>
      </c>
      <c r="K17">
        <f ca="1">IF(OR($C17="S",$C17=0),0,MATCH(OFFSET($D17,0,$C17)+IF($C17&lt;&gt;1,1,COUNTIF(QCI!$A$13:$A$24,ORÇAMENTO!E17)),OFFSET($D17,1,$C17,ROW($C$43)-ROW($C17)),0))</f>
        <v>6</v>
      </c>
      <c r="L17" s="139" t="str">
        <f t="shared" ca="1" si="10"/>
        <v>F</v>
      </c>
      <c r="M17" s="140" t="s">
        <v>199</v>
      </c>
      <c r="N17" s="141" t="str">
        <f t="shared" ca="1" si="11"/>
        <v>Nível 2</v>
      </c>
      <c r="O17" s="142" t="str">
        <f t="shared" ca="1" si="12"/>
        <v>1.1.</v>
      </c>
      <c r="P17" s="143" t="s">
        <v>247</v>
      </c>
      <c r="Q17" s="668" t="s">
        <v>458</v>
      </c>
      <c r="R17" s="145" t="str">
        <f ca="1">IF($C17="S",REFERENCIA.Descricao,"INSTALAÇÕES INICIAIS DA OBRA")</f>
        <v>INSTALAÇÕES INICIAIS DA OBRA</v>
      </c>
      <c r="S17" s="146" t="str">
        <f ca="1">REFERENCIA.Unidade</f>
        <v>-</v>
      </c>
      <c r="T17" s="147">
        <f ca="1">OFFSET(CÁLCULO!H$15,ROW($T17)-ROW(T$15),0)</f>
        <v>0</v>
      </c>
      <c r="U17" s="148"/>
      <c r="V17" s="149" t="s">
        <v>156</v>
      </c>
      <c r="W17" s="147">
        <f ca="1">IF($C17="S",ROUND(IF(TIPOORCAMENTO="Proposto",ORÇAMENTO.CustoUnitario*(1+$AH17),ORÇAMENTO.PrecoUnitarioLicitado),15-13*$AF$10),0)</f>
        <v>0</v>
      </c>
      <c r="X17" s="150">
        <f ca="1">IF($C17="S",IF(Import.TipoArredondamento&lt;&gt;"TransfereGOV",VTOTAL1,SUM(OFFSET(CÁLCULO!$AA$15,ROW($X17)-ROW($X$15),1):OFFSET(CÁLCULO!$AL$15,ROW($X17)-ROW($X$15),-1))),IF($C17=0,0,ROUND(SomaAgrup,15-13*$AF$11)))</f>
        <v>0</v>
      </c>
      <c r="Y17" s="151" t="s">
        <v>245</v>
      </c>
      <c r="Z17" t="str">
        <f t="shared" ca="1" si="13"/>
        <v/>
      </c>
      <c r="AA17" s="152">
        <f ca="1">IF($C17="S",IF($Z17="CP",$X17,IF($Z17="RA",(($X17)*QCI!$AA$3),0)),SomaAgrup)</f>
        <v>0</v>
      </c>
      <c r="AB17" s="153">
        <f t="shared" ca="1" si="14"/>
        <v>0</v>
      </c>
      <c r="AC17" s="154" t="str">
        <f ca="1">IF($N17="","",IF(ORÇAMENTO.Descricao="","DESCRIÇÃO",IF(AND($C17="S",ORÇAMENTO.Unidade=""),"UNIDADE",IF($X17&lt;0,"VALOR NEGATIVO",IF(OR(AND(TIPOORCAMENTO="Proposto",$AG17&lt;&gt;"",$AG17&gt;0,ORÇAMENTO.CustoUnitario&gt;$AG17),AND(TIPOORCAMENTO="LICITADO",ORÇAMENTO.PrecoUnitarioLicitado&gt;$AN17)),"ACIMA REF.","")))))</f>
        <v/>
      </c>
      <c r="AD17" s="100" t="str">
        <f ca="1">IF(C17&lt;=CRONO.NivelExibicao,MAX($AD$15:OFFSET(AD17,-1,0))+IF($C17&lt;&gt;1,1,MAX(1,COUNTIF(QCI!$A$13:$A$24,OFFSET($E17,-1,0)))),"")</f>
        <v/>
      </c>
      <c r="AE17" s="110" t="b">
        <f ca="1">IF(AND($C17="S",ORÇAMENTO.CodBarra&lt;&gt;""),IF(ORÇAMENTO.Fonte="",ORÇAMENTO.CodBarra,CONCATENATE(ORÇAMENTO.Fonte," ",ORÇAMENTO.CodBarra)))</f>
        <v>0</v>
      </c>
      <c r="AF17" s="155" t="str">
        <f ca="1">IF(ISERROR(INDIRECT(ORÇAMENTO.BancoRef)),"(abra o arquivo 'Referência "&amp;Excel_BuiltIn_Database&amp;".xlsm)",IF(OR($C17&lt;&gt;"S",ORÇAMENTO.CodBarra=""),"(Sem Código)",IF(ISERROR(MATCH($AE17,INDIRECT(ORÇAMENTO.BancoRef),0)),"(Código não identificado nas referências)",MATCH($AE17,INDIRECT(ORÇAMENTO.BancoRef),0))))</f>
        <v>(abra o arquivo 'Referência 07-2024.xlsm)</v>
      </c>
      <c r="AG17" s="574">
        <f ca="1">ROUND(IF(DESONERACAO="sim",REFERENCIA.Desonerado,REFERENCIA.NaoDesonerado),2)</f>
        <v>0</v>
      </c>
      <c r="AH17" s="575">
        <f t="shared" ca="1" si="15"/>
        <v>0.25679999999999997</v>
      </c>
      <c r="AJ17" s="577"/>
      <c r="AL17" s="607"/>
      <c r="AM17" s="426">
        <f t="shared" ca="1" si="0"/>
        <v>0</v>
      </c>
      <c r="AN17" s="650">
        <f t="shared" ca="1" si="16"/>
        <v>0</v>
      </c>
    </row>
    <row r="18" spans="1:40" ht="25.5">
      <c r="A18" t="str">
        <f t="shared" si="1"/>
        <v>S</v>
      </c>
      <c r="B18">
        <f t="shared" ca="1" si="2"/>
        <v>2</v>
      </c>
      <c r="C18" t="str">
        <f t="shared" ca="1" si="3"/>
        <v>S</v>
      </c>
      <c r="D18">
        <f t="shared" ca="1" si="4"/>
        <v>0</v>
      </c>
      <c r="E18">
        <f ca="1">IF($C18=1,OFFSET(E18,-1,0)+MAX(1,COUNTIF(QCI!$A$13:$A$24,OFFSET(ORÇAMENTO!E18,-1,0))),OFFSET(E18,-1,0))</f>
        <v>1</v>
      </c>
      <c r="F18">
        <f t="shared" ca="1" si="5"/>
        <v>1</v>
      </c>
      <c r="G18">
        <f t="shared" ca="1" si="6"/>
        <v>0</v>
      </c>
      <c r="H18">
        <f t="shared" ca="1" si="7"/>
        <v>0</v>
      </c>
      <c r="I18">
        <f t="shared" ca="1" si="8"/>
        <v>0</v>
      </c>
      <c r="J18">
        <f t="shared" ca="1" si="9"/>
        <v>0</v>
      </c>
      <c r="K18">
        <f ca="1">IF(OR($C18="S",$C18=0),0,MATCH(OFFSET($D18,0,$C18)+IF($C18&lt;&gt;1,1,COUNTIF(QCI!$A$13:$A$24,ORÇAMENTO!E18)),OFFSET($D18,1,$C18,ROW($C$43)-ROW($C18)),0))</f>
        <v>0</v>
      </c>
      <c r="L18" s="139" t="str">
        <f t="shared" ca="1" si="10"/>
        <v/>
      </c>
      <c r="M18" s="140" t="s">
        <v>199</v>
      </c>
      <c r="N18" s="141" t="str">
        <f t="shared" ca="1" si="11"/>
        <v>Serviço</v>
      </c>
      <c r="O18" s="142" t="str">
        <f t="shared" ca="1" si="12"/>
        <v>-</v>
      </c>
      <c r="P18" s="143" t="s">
        <v>247</v>
      </c>
      <c r="Q18" s="668" t="s">
        <v>458</v>
      </c>
      <c r="R18" s="145" t="str">
        <f ca="1">IF($C18="S",REFERENCIA.Descricao,"(digite a descrição aqui)")</f>
        <v>(abra o arquivo 'Referência 07-2024.xlsm)</v>
      </c>
      <c r="S18" s="146" t="str">
        <f ca="1">REFERENCIA.Unidade</f>
        <v>-</v>
      </c>
      <c r="T18" s="147">
        <f ca="1">OFFSET(CÁLCULO!H$15,ROW($T18)-ROW(T$15),0)</f>
        <v>4.5</v>
      </c>
      <c r="U18" s="148">
        <f ca="1">AG18</f>
        <v>0</v>
      </c>
      <c r="V18" s="149" t="s">
        <v>156</v>
      </c>
      <c r="W18" s="147">
        <f ca="1">IF($C18="S",ROUND(IF(TIPOORCAMENTO="Proposto",ORÇAMENTO.CustoUnitario*(1+$AH18),ORÇAMENTO.PrecoUnitarioLicitado),15-13*$AF$10),0)</f>
        <v>0</v>
      </c>
      <c r="X18" s="150">
        <f ca="1">IF($C18="S",IF(Import.TipoArredondamento&lt;&gt;"TransfereGOV",VTOTAL1,SUM(OFFSET(CÁLCULO!$AA$15,ROW($X18)-ROW($X$15),1):OFFSET(CÁLCULO!$AL$15,ROW($X18)-ROW($X$15),-1))),IF($C18=0,0,ROUND(SomaAgrup,15-13*$AF$11)))</f>
        <v>0</v>
      </c>
      <c r="Y18" s="151" t="s">
        <v>245</v>
      </c>
      <c r="Z18" t="str">
        <f t="shared" ca="1" si="13"/>
        <v/>
      </c>
      <c r="AA18" s="152">
        <f ca="1">IF($C18="S",IF($Z18="CP",$X18,IF($Z18="RA",(($X18)*QCI!$AA$3),0)),SomaAgrup)</f>
        <v>0</v>
      </c>
      <c r="AB18" s="153">
        <f t="shared" ca="1" si="14"/>
        <v>0</v>
      </c>
      <c r="AC18" s="154" t="str">
        <f ca="1">IF($N18="","",IF(ORÇAMENTO.Descricao="","DESCRIÇÃO",IF(AND($C18="S",ORÇAMENTO.Unidade=""),"UNIDADE",IF($X18&lt;0,"VALOR NEGATIVO",IF(OR(AND(TIPOORCAMENTO="Proposto",$AG18&lt;&gt;"",$AG18&gt;0,ORÇAMENTO.CustoUnitario&gt;$AG18),AND(TIPOORCAMENTO="LICITADO",ORÇAMENTO.PrecoUnitarioLicitado&gt;$AN18)),"ACIMA REF.","")))))</f>
        <v/>
      </c>
      <c r="AD18" s="100" t="str">
        <f ca="1">IF(C18&lt;=CRONO.NivelExibicao,MAX($AD$15:OFFSET(AD18,-1,0))+IF($C18&lt;&gt;1,1,MAX(1,COUNTIF(QCI!$A$13:$A$24,OFFSET($E18,-1,0)))),"")</f>
        <v/>
      </c>
      <c r="AE18" s="110" t="str">
        <f ca="1">IF(AND($C18="S",ORÇAMENTO.CodBarra&lt;&gt;""),IF(ORÇAMENTO.Fonte="",ORÇAMENTO.CodBarra,CONCATENATE(ORÇAMENTO.Fonte," ",ORÇAMENTO.CodBarra)))</f>
        <v>SINAPI 103689</v>
      </c>
      <c r="AF18" s="155" t="str">
        <f ca="1">IF(ISERROR(INDIRECT(ORÇAMENTO.BancoRef)),"(abra o arquivo 'Referência "&amp;Excel_BuiltIn_Database&amp;".xlsm)",IF(OR($C18&lt;&gt;"S",ORÇAMENTO.CodBarra=""),"(Sem Código)",IF(ISERROR(MATCH($AE18,INDIRECT(ORÇAMENTO.BancoRef),0)),"(Código não identificado nas referências)",MATCH($AE18,INDIRECT(ORÇAMENTO.BancoRef),0))))</f>
        <v>(abra o arquivo 'Referência 07-2024.xlsm)</v>
      </c>
      <c r="AG18" s="574">
        <f ca="1">ROUND(IF(DESONERACAO="sim",REFERENCIA.Desonerado,REFERENCIA.NaoDesonerado),2)</f>
        <v>0</v>
      </c>
      <c r="AH18" s="575">
        <f t="shared" ca="1" si="15"/>
        <v>0.25679999999999997</v>
      </c>
      <c r="AJ18" s="577">
        <v>4.5</v>
      </c>
      <c r="AL18" s="607"/>
      <c r="AM18" s="426">
        <f t="shared" ca="1" si="0"/>
        <v>0</v>
      </c>
      <c r="AN18" s="650">
        <f t="shared" ca="1" si="16"/>
        <v>0</v>
      </c>
    </row>
    <row r="19" spans="1:40" ht="38.25">
      <c r="A19" t="str">
        <f t="shared" ref="A19:A25" si="17">CHOOSE(1+LOG(1+2*(ORÇAMENTO.Nivel="Meta")+4*(ORÇAMENTO.Nivel="Nível 2")+8*(ORÇAMENTO.Nivel="Nível 3")+16*(ORÇAMENTO.Nivel="Nível 4")+32*(ORÇAMENTO.Nivel="Serviço"),2),0,1,2,3,4,"S")</f>
        <v>S</v>
      </c>
      <c r="B19">
        <f ca="1">IF(OR(C19="s",C19=0),OFFSET(B19,-1,0),C19)</f>
        <v>2</v>
      </c>
      <c r="C19" t="str">
        <f ca="1">IF(OFFSET(C19,-1,0)="L",1,IF(OFFSET(C19,-1,0)=1,2,IF(OR(A19="s",A19=0),"S",IF(AND(OFFSET(C19,-1,0)=2,A19=4),3,IF(AND(OR(OFFSET(C19,-1,0)="s",OFFSET(C19,-1,0)=0),A19&lt;&gt;"s",A19&gt;OFFSET(B19,-1,0)),OFFSET(B19,-1,0),A19)))))</f>
        <v>S</v>
      </c>
      <c r="D19">
        <f ca="1">IF(OR(C19="S",C19=0),0,IF(ISERROR(K19),J19,SMALL(J19:K19,1)))</f>
        <v>0</v>
      </c>
      <c r="E19">
        <f ca="1">IF($C19=1,OFFSET(E19,-1,0)+MAX(1,COUNTIF(QCI!$A$13:$A$24,OFFSET(ORÇAMENTO!E19,-1,0))),OFFSET(E19,-1,0))</f>
        <v>1</v>
      </c>
      <c r="F19">
        <f ca="1">IF($C19=1,0,IF($C19=2,OFFSET(F19,-1,0)+1,OFFSET(F19,-1,0)))</f>
        <v>1</v>
      </c>
      <c r="G19">
        <f ca="1">IF(AND($C19&lt;=2,$C19&lt;&gt;0),0,IF($C19=3,OFFSET(G19,-1,0)+1,OFFSET(G19,-1,0)))</f>
        <v>0</v>
      </c>
      <c r="H19">
        <f ca="1">IF(AND($C19&lt;=3,$C19&lt;&gt;0),0,IF($C19=4,OFFSET(H19,-1,0)+1,OFFSET(H19,-1,0)))</f>
        <v>0</v>
      </c>
      <c r="I19">
        <f ca="1">IF(AND($C19&lt;=4,$C19&lt;&gt;0),0,IF(AND($C19="S",$X19&gt;0),OFFSET(I19,-1,0)+1,OFFSET(I19,-1,0)))</f>
        <v>0</v>
      </c>
      <c r="J19">
        <f t="shared" ca="1" si="9"/>
        <v>0</v>
      </c>
      <c r="K19">
        <f ca="1">IF(OR($C19="S",$C19=0),0,MATCH(OFFSET($D19,0,$C19)+IF($C19&lt;&gt;1,1,COUNTIF(QCI!$A$13:$A$24,ORÇAMENTO!E19)),OFFSET($D19,1,$C19,ROW($C$43)-ROW($C19)),0))</f>
        <v>0</v>
      </c>
      <c r="L19" s="139" t="str">
        <f ca="1">IF(OR($X19&gt;0,$C19=1,$C19=2,$C19=3,$C19=4),"F","")</f>
        <v/>
      </c>
      <c r="M19" s="140" t="s">
        <v>199</v>
      </c>
      <c r="N19" s="141" t="str">
        <f ca="1">CHOOSE(1+LOG(1+2*(C19=1)+4*(C19=2)+8*(C19=3)+16*(C19=4)+32*(C19="S"),2),"","Meta","Nível 2","Nível 3","Nível 4","Serviço")</f>
        <v>Serviço</v>
      </c>
      <c r="O19" s="142" t="str">
        <f ca="1">IF(OR($C19=0,$L19=""),"-",CONCATENATE(E19&amp;".",IF(AND($A$5&gt;=2,$C19&gt;=2),F19&amp;".",""),IF(AND($A$5&gt;=3,$C19&gt;=3),G19&amp;".",""),IF(AND($A$5&gt;=4,$C19&gt;=4),H19&amp;".",""),IF($C19="S",I19&amp;".","")))</f>
        <v>-</v>
      </c>
      <c r="P19" s="362" t="s">
        <v>459</v>
      </c>
      <c r="Q19" s="668" t="s">
        <v>474</v>
      </c>
      <c r="R19" s="145" t="str">
        <f ca="1">IF($C19="S",REFERENCIA.Descricao,"(digite a descrição aqui)")</f>
        <v>(abra o arquivo 'Referência 07-2024.xlsm)</v>
      </c>
      <c r="S19" s="146" t="str">
        <f ca="1">REFERENCIA.Unidade</f>
        <v>-</v>
      </c>
      <c r="T19" s="147">
        <f ca="1">OFFSET(CÁLCULO!H$15,ROW($T19)-ROW(T$15),0)</f>
        <v>2</v>
      </c>
      <c r="U19" s="148">
        <f t="shared" ref="U19:U20" ca="1" si="18">AG19</f>
        <v>0</v>
      </c>
      <c r="V19" s="149" t="s">
        <v>156</v>
      </c>
      <c r="W19" s="147">
        <f ca="1">IF($C19="S",ROUND(IF(TIPOORCAMENTO="Proposto",ORÇAMENTO.CustoUnitario*(1+$AH19),ORÇAMENTO.PrecoUnitarioLicitado),15-13*$AF$10),0)</f>
        <v>0</v>
      </c>
      <c r="X19" s="150">
        <f ca="1">IF($C19="S",IF(Import.TipoArredondamento&lt;&gt;"TransfereGOV",VTOTAL1,SUM(OFFSET(CÁLCULO!$AA$15,ROW($X19)-ROW($X$15),1):OFFSET(CÁLCULO!$AL$15,ROW($X19)-ROW($X$15),-1))),IF($C19=0,0,ROUND(SomaAgrup,15-13*$AF$11)))</f>
        <v>0</v>
      </c>
      <c r="Y19" s="151" t="s">
        <v>245</v>
      </c>
      <c r="Z19" t="str">
        <f ca="1">IF(AND($C19="S",$X19&gt;0),IF(ISBLANK($Y19),"RA",LEFT($Y19,2)),"")</f>
        <v/>
      </c>
      <c r="AA19" s="152">
        <f ca="1">IF($C19="S",IF($Z19="CP",$X19,IF($Z19="RA",(($X19)*QCI!$AA$3),0)),SomaAgrup)</f>
        <v>0</v>
      </c>
      <c r="AB19" s="153">
        <f t="shared" ref="AB19:AB25" ca="1" si="19">IF($C19="S",IF($Z19="OU",ROUND($X19,2),0),SomaAgrup)</f>
        <v>0</v>
      </c>
      <c r="AC19" s="154" t="str">
        <f ca="1">IF($N19="","",IF(ORÇAMENTO.Descricao="","DESCRIÇÃO",IF(AND($C19="S",ORÇAMENTO.Unidade=""),"UNIDADE",IF($X19&lt;0,"VALOR NEGATIVO",IF(OR(AND(TIPOORCAMENTO="Proposto",$AG19&lt;&gt;"",$AG19&gt;0,ORÇAMENTO.CustoUnitario&gt;$AG19),AND(TIPOORCAMENTO="LICITADO",ORÇAMENTO.PrecoUnitarioLicitado&gt;$AN19)),"ACIMA REF.","")))))</f>
        <v/>
      </c>
      <c r="AD19" s="670" t="str">
        <f ca="1">IF(C19&lt;=CRONO.NivelExibicao,MAX($AD$15:OFFSET(AD19,-1,0))+IF($C19&lt;&gt;1,1,MAX(1,COUNTIF(QCI!$A$13:$A$24,OFFSET($E19,-1,0)))),"")</f>
        <v/>
      </c>
      <c r="AE19" s="110" t="str">
        <f ca="1">IF(AND($C19="S",ORÇAMENTO.CodBarra&lt;&gt;""),IF(ORÇAMENTO.Fonte="",ORÇAMENTO.CodBarra,CONCATENATE(ORÇAMENTO.Fonte," ",ORÇAMENTO.CodBarra)))</f>
        <v>SETOP ED-50155</v>
      </c>
      <c r="AF19" s="155" t="str">
        <f ca="1">IF(ISERROR(INDIRECT(ORÇAMENTO.BancoRef)),"(abra o arquivo 'Referência "&amp;Excel_BuiltIn_Database&amp;".xlsm)",IF(OR($C19&lt;&gt;"S",ORÇAMENTO.CodBarra=""),"(Sem Código)",IF(ISERROR(MATCH($AE19,INDIRECT(ORÇAMENTO.BancoRef),0)),"(Código não identificado nas referências)",MATCH($AE19,INDIRECT(ORÇAMENTO.BancoRef),0))))</f>
        <v>(abra o arquivo 'Referência 07-2024.xlsm)</v>
      </c>
      <c r="AG19" s="574">
        <f ca="1">ROUND(IF(DESONERACAO="sim",REFERENCIA.Desonerado,REFERENCIA.NaoDesonerado),2)</f>
        <v>0</v>
      </c>
      <c r="AH19" s="575">
        <f t="shared" ref="AH19:AH25" ca="1" si="20">ROUND(IF(ISNUMBER(ORÇAMENTO.OpcaoBDI),ORÇAMENTO.OpcaoBDI,IF(LEFT(ORÇAMENTO.OpcaoBDI,3)="BDI",HLOOKUP(ORÇAMENTO.OpcaoBDI,$F$4:$H$5,2,FALSE),0)),15-11*$AF$9)</f>
        <v>0.25679999999999997</v>
      </c>
      <c r="AJ19" s="577">
        <v>2</v>
      </c>
      <c r="AL19" s="607"/>
      <c r="AM19" s="426">
        <f t="shared" ca="1" si="0"/>
        <v>0</v>
      </c>
      <c r="AN19" s="650">
        <f t="shared" ref="AN19:AN25" ca="1" si="21">ROUND(ORÇAMENTO.CustoUnitario*(1+$AH19),2)</f>
        <v>0</v>
      </c>
    </row>
    <row r="20" spans="1:40" ht="76.5">
      <c r="A20" t="str">
        <f t="shared" si="17"/>
        <v>S</v>
      </c>
      <c r="B20">
        <f t="shared" ref="B20:B21" ca="1" si="22">IF(OR(C20="s",C20=0),OFFSET(B20,-1,0),C20)</f>
        <v>2</v>
      </c>
      <c r="C20" t="str">
        <f t="shared" ref="C20:C21" ca="1" si="23">IF(OFFSET(C20,-1,0)="L",1,IF(OFFSET(C20,-1,0)=1,2,IF(OR(A20="s",A20=0),"S",IF(AND(OFFSET(C20,-1,0)=2,A20=4),3,IF(AND(OR(OFFSET(C20,-1,0)="s",OFFSET(C20,-1,0)=0),A20&lt;&gt;"s",A20&gt;OFFSET(B20,-1,0)),OFFSET(B20,-1,0),A20)))))</f>
        <v>S</v>
      </c>
      <c r="D20">
        <f t="shared" ref="D20:D21" ca="1" si="24">IF(OR(C20="S",C20=0),0,IF(ISERROR(K20),J20,SMALL(J20:K20,1)))</f>
        <v>0</v>
      </c>
      <c r="E20">
        <f ca="1">IF($C20=1,OFFSET(E20,-1,0)+MAX(1,COUNTIF(QCI!$A$13:$A$24,OFFSET(ORÇAMENTO!E20,-1,0))),OFFSET(E20,-1,0))</f>
        <v>1</v>
      </c>
      <c r="F20">
        <f t="shared" ref="F20:F21" ca="1" si="25">IF($C20=1,0,IF($C20=2,OFFSET(F20,-1,0)+1,OFFSET(F20,-1,0)))</f>
        <v>1</v>
      </c>
      <c r="G20">
        <f t="shared" ref="G20:G21" ca="1" si="26">IF(AND($C20&lt;=2,$C20&lt;&gt;0),0,IF($C20=3,OFFSET(G20,-1,0)+1,OFFSET(G20,-1,0)))</f>
        <v>0</v>
      </c>
      <c r="H20">
        <f t="shared" ref="H20:H21" ca="1" si="27">IF(AND($C20&lt;=3,$C20&lt;&gt;0),0,IF($C20=4,OFFSET(H20,-1,0)+1,OFFSET(H20,-1,0)))</f>
        <v>0</v>
      </c>
      <c r="I20">
        <f t="shared" ref="I20:I21" ca="1" si="28">IF(AND($C20&lt;=4,$C20&lt;&gt;0),0,IF(AND($C20="S",$X20&gt;0),OFFSET(I20,-1,0)+1,OFFSET(I20,-1,0)))</f>
        <v>0</v>
      </c>
      <c r="J20">
        <f t="shared" ca="1" si="9"/>
        <v>0</v>
      </c>
      <c r="K20">
        <f ca="1">IF(OR($C20="S",$C20=0),0,MATCH(OFFSET($D20,0,$C20)+IF($C20&lt;&gt;1,1,COUNTIF(QCI!$A$13:$A$24,ORÇAMENTO!E20)),OFFSET($D20,1,$C20,ROW($C$43)-ROW($C20)),0))</f>
        <v>0</v>
      </c>
      <c r="L20" s="139" t="str">
        <f t="shared" ref="L20:L21" ca="1" si="29">IF(OR($X20&gt;0,$C20=1,$C20=2,$C20=3,$C20=4),"F","")</f>
        <v/>
      </c>
      <c r="M20" s="140" t="s">
        <v>199</v>
      </c>
      <c r="N20" s="141" t="str">
        <f t="shared" ref="N20:N21" ca="1" si="30">CHOOSE(1+LOG(1+2*(C20=1)+4*(C20=2)+8*(C20=3)+16*(C20=4)+32*(C20="S"),2),"","Meta","Nível 2","Nível 3","Nível 4","Serviço")</f>
        <v>Serviço</v>
      </c>
      <c r="O20" s="142" t="str">
        <f t="shared" ref="O20:O21" ca="1" si="31">IF(OR($C20=0,$L20=""),"-",CONCATENATE(E20&amp;".",IF(AND($A$5&gt;=2,$C20&gt;=2),F20&amp;".",""),IF(AND($A$5&gt;=3,$C20&gt;=3),G20&amp;".",""),IF(AND($A$5&gt;=4,$C20&gt;=4),H20&amp;".",""),IF($C20="S",I20&amp;".","")))</f>
        <v>-</v>
      </c>
      <c r="P20" s="362" t="s">
        <v>459</v>
      </c>
      <c r="Q20" s="668" t="s">
        <v>475</v>
      </c>
      <c r="R20" s="145" t="str">
        <f ca="1">IF($C20="S",REFERENCIA.Descricao,"(digite a descrição aqui)")</f>
        <v>(abra o arquivo 'Referência 07-2024.xlsm)</v>
      </c>
      <c r="S20" s="146" t="str">
        <f ca="1">REFERENCIA.Unidade</f>
        <v>-</v>
      </c>
      <c r="T20" s="147">
        <f ca="1">OFFSET(CÁLCULO!H$15,ROW($T20)-ROW(T$15),0)</f>
        <v>2</v>
      </c>
      <c r="U20" s="148">
        <f t="shared" ca="1" si="18"/>
        <v>0</v>
      </c>
      <c r="V20" s="149" t="s">
        <v>156</v>
      </c>
      <c r="W20" s="147">
        <f ca="1">IF($C20="S",ROUND(IF(TIPOORCAMENTO="Proposto",ORÇAMENTO.CustoUnitario*(1+$AH20),ORÇAMENTO.PrecoUnitarioLicitado),15-13*$AF$10),0)</f>
        <v>0</v>
      </c>
      <c r="X20" s="150">
        <f ca="1">IF($C20="S",IF(Import.TipoArredondamento&lt;&gt;"TransfereGOV",VTOTAL1,SUM(OFFSET(CÁLCULO!$AA$15,ROW($X20)-ROW($X$15),1):OFFSET(CÁLCULO!$AL$15,ROW($X20)-ROW($X$15),-1))),IF($C20=0,0,ROUND(SomaAgrup,15-13*$AF$11)))</f>
        <v>0</v>
      </c>
      <c r="Y20" s="151" t="s">
        <v>245</v>
      </c>
      <c r="Z20" t="str">
        <f t="shared" ref="Z20:Z21" ca="1" si="32">IF(AND($C20="S",$X20&gt;0),IF(ISBLANK($Y20),"RA",LEFT($Y20,2)),"")</f>
        <v/>
      </c>
      <c r="AA20" s="152">
        <f ca="1">IF($C20="S",IF($Z20="CP",$X20,IF($Z20="RA",(($X20)*QCI!$AA$3),0)),SomaAgrup)</f>
        <v>0</v>
      </c>
      <c r="AB20" s="153">
        <f t="shared" ca="1" si="19"/>
        <v>0</v>
      </c>
      <c r="AC20" s="154" t="str">
        <f ca="1">IF($N20="","",IF(ORÇAMENTO.Descricao="","DESCRIÇÃO",IF(AND($C20="S",ORÇAMENTO.Unidade=""),"UNIDADE",IF($X20&lt;0,"VALOR NEGATIVO",IF(OR(AND(TIPOORCAMENTO="Proposto",$AG20&lt;&gt;"",$AG20&gt;0,ORÇAMENTO.CustoUnitario&gt;$AG20),AND(TIPOORCAMENTO="LICITADO",ORÇAMENTO.PrecoUnitarioLicitado&gt;$AN20)),"ACIMA REF.","")))))</f>
        <v/>
      </c>
      <c r="AD20" s="670" t="str">
        <f ca="1">IF(C20&lt;=CRONO.NivelExibicao,MAX($AD$15:OFFSET(AD20,-1,0))+IF($C20&lt;&gt;1,1,MAX(1,COUNTIF(QCI!$A$13:$A$24,OFFSET($E20,-1,0)))),"")</f>
        <v/>
      </c>
      <c r="AE20" s="110" t="str">
        <f ca="1">IF(AND($C20="S",ORÇAMENTO.CodBarra&lt;&gt;""),IF(ORÇAMENTO.Fonte="",ORÇAMENTO.CodBarra,CONCATENATE(ORÇAMENTO.Fonte," ",ORÇAMENTO.CodBarra)))</f>
        <v>SETOP ED-16348</v>
      </c>
      <c r="AF20" s="155" t="str">
        <f ca="1">IF(ISERROR(INDIRECT(ORÇAMENTO.BancoRef)),"(abra o arquivo 'Referência "&amp;Excel_BuiltIn_Database&amp;".xlsm)",IF(OR($C20&lt;&gt;"S",ORÇAMENTO.CodBarra=""),"(Sem Código)",IF(ISERROR(MATCH($AE20,INDIRECT(ORÇAMENTO.BancoRef),0)),"(Código não identificado nas referências)",MATCH($AE20,INDIRECT(ORÇAMENTO.BancoRef),0))))</f>
        <v>(abra o arquivo 'Referência 07-2024.xlsm)</v>
      </c>
      <c r="AG20" s="574">
        <f ca="1">ROUND(IF(DESONERACAO="sim",REFERENCIA.Desonerado,REFERENCIA.NaoDesonerado),2)</f>
        <v>0</v>
      </c>
      <c r="AH20" s="575">
        <f t="shared" ca="1" si="20"/>
        <v>0.25679999999999997</v>
      </c>
      <c r="AJ20" s="577">
        <v>2</v>
      </c>
      <c r="AL20" s="607"/>
      <c r="AM20" s="426">
        <f t="shared" ca="1" si="0"/>
        <v>0</v>
      </c>
      <c r="AN20" s="650">
        <f t="shared" ca="1" si="21"/>
        <v>0</v>
      </c>
    </row>
    <row r="21" spans="1:40" ht="38.25">
      <c r="A21" t="str">
        <f t="shared" si="17"/>
        <v>S</v>
      </c>
      <c r="B21">
        <f t="shared" ca="1" si="22"/>
        <v>2</v>
      </c>
      <c r="C21" t="str">
        <f t="shared" ca="1" si="23"/>
        <v>S</v>
      </c>
      <c r="D21">
        <f t="shared" ca="1" si="24"/>
        <v>0</v>
      </c>
      <c r="E21">
        <f ca="1">IF($C21=1,OFFSET(E21,-1,0)+MAX(1,COUNTIF(QCI!$A$13:$A$24,OFFSET(ORÇAMENTO!E21,-1,0))),OFFSET(E21,-1,0))</f>
        <v>1</v>
      </c>
      <c r="F21">
        <f t="shared" ca="1" si="25"/>
        <v>1</v>
      </c>
      <c r="G21">
        <f t="shared" ca="1" si="26"/>
        <v>0</v>
      </c>
      <c r="H21">
        <f t="shared" ca="1" si="27"/>
        <v>0</v>
      </c>
      <c r="I21">
        <f t="shared" ca="1" si="28"/>
        <v>0</v>
      </c>
      <c r="J21">
        <f t="shared" ca="1" si="9"/>
        <v>0</v>
      </c>
      <c r="K21">
        <f ca="1">IF(OR($C21="S",$C21=0),0,MATCH(OFFSET($D21,0,$C21)+IF($C21&lt;&gt;1,1,COUNTIF(QCI!$A$13:$A$24,ORÇAMENTO!E21)),OFFSET($D21,1,$C21,ROW($C$43)-ROW($C21)),0))</f>
        <v>0</v>
      </c>
      <c r="L21" s="139" t="str">
        <f t="shared" ca="1" si="29"/>
        <v/>
      </c>
      <c r="M21" s="140" t="s">
        <v>199</v>
      </c>
      <c r="N21" s="141" t="str">
        <f t="shared" ca="1" si="30"/>
        <v>Serviço</v>
      </c>
      <c r="O21" s="142" t="str">
        <f t="shared" ca="1" si="31"/>
        <v>-</v>
      </c>
      <c r="P21" s="362" t="s">
        <v>459</v>
      </c>
      <c r="Q21" s="668" t="s">
        <v>476</v>
      </c>
      <c r="R21" s="145" t="str">
        <f ca="1">IF($C21="S",REFERENCIA.Descricao,"(digite a descrição aqui)")</f>
        <v>(abra o arquivo 'Referência 07-2024.xlsm)</v>
      </c>
      <c r="S21" s="146" t="str">
        <f ca="1">REFERENCIA.Unidade</f>
        <v>-</v>
      </c>
      <c r="T21" s="147">
        <f ca="1">OFFSET(CÁLCULO!H$15,ROW($T21)-ROW(T$15),0)</f>
        <v>1</v>
      </c>
      <c r="U21" s="148">
        <f ca="1">AG21</f>
        <v>0</v>
      </c>
      <c r="V21" s="149" t="s">
        <v>156</v>
      </c>
      <c r="W21" s="147">
        <f ca="1">IF($C21="S",ROUND(IF(TIPOORCAMENTO="Proposto",ORÇAMENTO.CustoUnitario*(1+$AH21),ORÇAMENTO.PrecoUnitarioLicitado),15-13*$AF$10),0)</f>
        <v>0</v>
      </c>
      <c r="X21" s="150">
        <f ca="1">IF($C21="S",IF(Import.TipoArredondamento&lt;&gt;"TransfereGOV",VTOTAL1,SUM(OFFSET(CÁLCULO!$AA$15,ROW($X21)-ROW($X$15),1):OFFSET(CÁLCULO!$AL$15,ROW($X21)-ROW($X$15),-1))),IF($C21=0,0,ROUND(SomaAgrup,15-13*$AF$11)))</f>
        <v>0</v>
      </c>
      <c r="Y21" s="151" t="s">
        <v>245</v>
      </c>
      <c r="Z21" t="str">
        <f t="shared" ca="1" si="32"/>
        <v/>
      </c>
      <c r="AA21" s="152">
        <f ca="1">IF($C21="S",IF($Z21="CP",$X21,IF($Z21="RA",(($X21)*QCI!$AA$3),0)),SomaAgrup)</f>
        <v>0</v>
      </c>
      <c r="AB21" s="153">
        <f t="shared" ca="1" si="19"/>
        <v>0</v>
      </c>
      <c r="AC21" s="154" t="str">
        <f ca="1">IF($N21="","",IF(ORÇAMENTO.Descricao="","DESCRIÇÃO",IF(AND($C21="S",ORÇAMENTO.Unidade=""),"UNIDADE",IF($X21&lt;0,"VALOR NEGATIVO",IF(OR(AND(TIPOORCAMENTO="Proposto",$AG21&lt;&gt;"",$AG21&gt;0,ORÇAMENTO.CustoUnitario&gt;$AG21),AND(TIPOORCAMENTO="LICITADO",ORÇAMENTO.PrecoUnitarioLicitado&gt;$AN21)),"ACIMA REF.","")))))</f>
        <v/>
      </c>
      <c r="AD21" s="670" t="str">
        <f ca="1">IF(C21&lt;=CRONO.NivelExibicao,MAX($AD$15:OFFSET(AD21,-1,0))+IF($C21&lt;&gt;1,1,MAX(1,COUNTIF(QCI!$A$13:$A$24,OFFSET($E21,-1,0)))),"")</f>
        <v/>
      </c>
      <c r="AE21" s="110" t="str">
        <f ca="1">IF(AND($C21="S",ORÇAMENTO.CodBarra&lt;&gt;""),IF(ORÇAMENTO.Fonte="",ORÇAMENTO.CodBarra,CONCATENATE(ORÇAMENTO.Fonte," ",ORÇAMENTO.CodBarra)))</f>
        <v>SETOP ED-50137</v>
      </c>
      <c r="AF21" s="155" t="str">
        <f ca="1">IF(ISERROR(INDIRECT(ORÇAMENTO.BancoRef)),"(abra o arquivo 'Referência "&amp;Excel_BuiltIn_Database&amp;".xlsm)",IF(OR($C21&lt;&gt;"S",ORÇAMENTO.CodBarra=""),"(Sem Código)",IF(ISERROR(MATCH($AE21,INDIRECT(ORÇAMENTO.BancoRef),0)),"(Código não identificado nas referências)",MATCH($AE21,INDIRECT(ORÇAMENTO.BancoRef),0))))</f>
        <v>(abra o arquivo 'Referência 07-2024.xlsm)</v>
      </c>
      <c r="AG21" s="574">
        <f ca="1">ROUND(IF(DESONERACAO="sim",REFERENCIA.Desonerado,REFERENCIA.NaoDesonerado),2)</f>
        <v>0</v>
      </c>
      <c r="AH21" s="575">
        <f t="shared" ca="1" si="20"/>
        <v>0.25679999999999997</v>
      </c>
      <c r="AJ21" s="577">
        <v>1</v>
      </c>
      <c r="AL21" s="607"/>
      <c r="AM21" s="426">
        <f t="shared" ca="1" si="0"/>
        <v>0</v>
      </c>
      <c r="AN21" s="650">
        <f t="shared" ca="1" si="21"/>
        <v>0</v>
      </c>
    </row>
    <row r="22" spans="1:40" ht="25.5">
      <c r="A22" t="str">
        <f t="shared" si="17"/>
        <v>S</v>
      </c>
      <c r="B22">
        <f ca="1">IF(OR(C22="s",C22=0),OFFSET(B22,-1,0),C22)</f>
        <v>2</v>
      </c>
      <c r="C22" t="str">
        <f ca="1">IF(OFFSET(C22,-1,0)="L",1,IF(OFFSET(C22,-1,0)=1,2,IF(OR(A22="s",A22=0),"S",IF(AND(OFFSET(C22,-1,0)=2,A22=4),3,IF(AND(OR(OFFSET(C22,-1,0)="s",OFFSET(C22,-1,0)=0),A22&lt;&gt;"s",A22&gt;OFFSET(B22,-1,0)),OFFSET(B22,-1,0),A22)))))</f>
        <v>S</v>
      </c>
      <c r="D22">
        <f ca="1">IF(OR(C22="S",C22=0),0,IF(ISERROR(K22),J22,SMALL(J22:K22,1)))</f>
        <v>0</v>
      </c>
      <c r="E22">
        <f ca="1">IF($C22=1,OFFSET(E22,-1,0)+MAX(1,COUNTIF(QCI!$A$13:$A$24,OFFSET(ORÇAMENTO!E22,-1,0))),OFFSET(E22,-1,0))</f>
        <v>1</v>
      </c>
      <c r="F22">
        <f ca="1">IF($C22=1,0,IF($C22=2,OFFSET(F22,-1,0)+1,OFFSET(F22,-1,0)))</f>
        <v>1</v>
      </c>
      <c r="G22">
        <f ca="1">IF(AND($C22&lt;=2,$C22&lt;&gt;0),0,IF($C22=3,OFFSET(G22,-1,0)+1,OFFSET(G22,-1,0)))</f>
        <v>0</v>
      </c>
      <c r="H22">
        <f ca="1">IF(AND($C22&lt;=3,$C22&lt;&gt;0),0,IF($C22=4,OFFSET(H22,-1,0)+1,OFFSET(H22,-1,0)))</f>
        <v>0</v>
      </c>
      <c r="I22">
        <f ca="1">IF(AND($C22&lt;=4,$C22&lt;&gt;0),0,IF(AND($C22="S",$X22&gt;0),OFFSET(I22,-1,0)+1,OFFSET(I22,-1,0)))</f>
        <v>0</v>
      </c>
      <c r="J22">
        <f t="shared" ca="1" si="9"/>
        <v>0</v>
      </c>
      <c r="K22">
        <f ca="1">IF(OR($C22="S",$C22=0),0,MATCH(OFFSET($D22,0,$C22)+IF($C22&lt;&gt;1,1,COUNTIF(QCI!$A$13:$A$24,ORÇAMENTO!E22)),OFFSET($D22,1,$C22,ROW($C$43)-ROW($C22)),0))</f>
        <v>0</v>
      </c>
      <c r="L22" s="139" t="str">
        <f ca="1">IF(OR($X22&gt;0,$C22=1,$C22=2,$C22=3,$C22=4),"F","")</f>
        <v/>
      </c>
      <c r="M22" s="140" t="s">
        <v>199</v>
      </c>
      <c r="N22" s="141" t="str">
        <f ca="1">CHOOSE(1+LOG(1+2*(C22=1)+4*(C22=2)+8*(C22=3)+16*(C22=4)+32*(C22="S"),2),"","Meta","Nível 2","Nível 3","Nível 4","Serviço")</f>
        <v>Serviço</v>
      </c>
      <c r="O22" s="142" t="str">
        <f ca="1">IF(OR($C22=0,$L22=""),"-",CONCATENATE(E22&amp;".",IF(AND($A$5&gt;=2,$C22&gt;=2),F22&amp;".",""),IF(AND($A$5&gt;=3,$C22&gt;=3),G22&amp;".",""),IF(AND($A$5&gt;=4,$C22&gt;=4),H22&amp;".",""),IF($C22="S",I22&amp;".","")))</f>
        <v>-</v>
      </c>
      <c r="P22" s="362" t="s">
        <v>459</v>
      </c>
      <c r="Q22" s="668" t="s">
        <v>477</v>
      </c>
      <c r="R22" s="145" t="str">
        <f ca="1">IF($C22="S",REFERENCIA.Descricao,"(digite a descrição aqui)")</f>
        <v>(abra o arquivo 'Referência 07-2024.xlsm)</v>
      </c>
      <c r="S22" s="146" t="str">
        <f ca="1">REFERENCIA.Unidade</f>
        <v>-</v>
      </c>
      <c r="T22" s="147">
        <f ca="1">OFFSET(CÁLCULO!H$15,ROW($T22)-ROW(T$15),0)</f>
        <v>55</v>
      </c>
      <c r="U22" s="148">
        <f ca="1">AG22</f>
        <v>0</v>
      </c>
      <c r="V22" s="149" t="s">
        <v>156</v>
      </c>
      <c r="W22" s="147">
        <f ca="1">IF($C22="S",ROUND(IF(TIPOORCAMENTO="Proposto",ORÇAMENTO.CustoUnitario*(1+$AH22),ORÇAMENTO.PrecoUnitarioLicitado),15-13*$AF$10),0)</f>
        <v>0</v>
      </c>
      <c r="X22" s="150">
        <f ca="1">IF($C22="S",IF(Import.TipoArredondamento&lt;&gt;"TransfereGOV",VTOTAL1,SUM(OFFSET(CÁLCULO!$AA$15,ROW($X22)-ROW($X$15),1):OFFSET(CÁLCULO!$AL$15,ROW($X22)-ROW($X$15),-1))),IF($C22=0,0,ROUND(SomaAgrup,15-13*$AF$11)))</f>
        <v>0</v>
      </c>
      <c r="Y22" s="151" t="s">
        <v>245</v>
      </c>
      <c r="Z22" t="str">
        <f ca="1">IF(AND($C22="S",$X22&gt;0),IF(ISBLANK($Y22),"RA",LEFT($Y22,2)),"")</f>
        <v/>
      </c>
      <c r="AA22" s="152">
        <f ca="1">IF($C22="S",IF($Z22="CP",$X22,IF($Z22="RA",(($X22)*QCI!$AA$3),0)),SomaAgrup)</f>
        <v>0</v>
      </c>
      <c r="AB22" s="153">
        <f t="shared" ca="1" si="19"/>
        <v>0</v>
      </c>
      <c r="AC22" s="154" t="str">
        <f ca="1">IF($N22="","",IF(ORÇAMENTO.Descricao="","DESCRIÇÃO",IF(AND($C22="S",ORÇAMENTO.Unidade=""),"UNIDADE",IF($X22&lt;0,"VALOR NEGATIVO",IF(OR(AND(TIPOORCAMENTO="Proposto",$AG22&lt;&gt;"",$AG22&gt;0,ORÇAMENTO.CustoUnitario&gt;$AG22),AND(TIPOORCAMENTO="LICITADO",ORÇAMENTO.PrecoUnitarioLicitado&gt;$AN22)),"ACIMA REF.","")))))</f>
        <v/>
      </c>
      <c r="AD22" s="670" t="str">
        <f ca="1">IF(C22&lt;=CRONO.NivelExibicao,MAX($AD$15:OFFSET(AD22,-1,0))+IF($C22&lt;&gt;1,1,MAX(1,COUNTIF(QCI!$A$13:$A$24,OFFSET($E22,-1,0)))),"")</f>
        <v/>
      </c>
      <c r="AE22" s="110" t="str">
        <f ca="1">IF(AND($C22="S",ORÇAMENTO.CodBarra&lt;&gt;""),IF(ORÇAMENTO.Fonte="",ORÇAMENTO.CodBarra,CONCATENATE(ORÇAMENTO.Fonte," ",ORÇAMENTO.CodBarra)))</f>
        <v>SETOP ED-50276</v>
      </c>
      <c r="AF22" s="155" t="str">
        <f ca="1">IF(ISERROR(INDIRECT(ORÇAMENTO.BancoRef)),"(abra o arquivo 'Referência "&amp;Excel_BuiltIn_Database&amp;".xlsm)",IF(OR($C22&lt;&gt;"S",ORÇAMENTO.CodBarra=""),"(Sem Código)",IF(ISERROR(MATCH($AE22,INDIRECT(ORÇAMENTO.BancoRef),0)),"(Código não identificado nas referências)",MATCH($AE22,INDIRECT(ORÇAMENTO.BancoRef),0))))</f>
        <v>(abra o arquivo 'Referência 07-2024.xlsm)</v>
      </c>
      <c r="AG22" s="574">
        <f ca="1">ROUND(IF(DESONERACAO="sim",REFERENCIA.Desonerado,REFERENCIA.NaoDesonerado),2)</f>
        <v>0</v>
      </c>
      <c r="AH22" s="575">
        <f t="shared" ca="1" si="20"/>
        <v>0.25679999999999997</v>
      </c>
      <c r="AJ22" s="577">
        <v>55</v>
      </c>
      <c r="AL22" s="607"/>
      <c r="AM22" s="426">
        <f t="shared" ca="1" si="0"/>
        <v>0</v>
      </c>
      <c r="AN22" s="650">
        <f t="shared" ca="1" si="21"/>
        <v>0</v>
      </c>
    </row>
    <row r="23" spans="1:40">
      <c r="A23">
        <f t="shared" si="17"/>
        <v>2</v>
      </c>
      <c r="B23">
        <f t="shared" ref="B23:B25" ca="1" si="33">IF(OR(C23="s",C23=0),OFFSET(B23,-1,0),C23)</f>
        <v>2</v>
      </c>
      <c r="C23">
        <f t="shared" ref="C23:C25" ca="1" si="34">IF(OFFSET(C23,-1,0)="L",1,IF(OFFSET(C23,-1,0)=1,2,IF(OR(A23="s",A23=0),"S",IF(AND(OFFSET(C23,-1,0)=2,A23=4),3,IF(AND(OR(OFFSET(C23,-1,0)="s",OFFSET(C23,-1,0)=0),A23&lt;&gt;"s",A23&gt;OFFSET(B23,-1,0)),OFFSET(B23,-1,0),A23)))))</f>
        <v>2</v>
      </c>
      <c r="D23">
        <f t="shared" ref="D23:D25" ca="1" si="35">IF(OR(C23="S",C23=0),0,IF(ISERROR(K23),J23,SMALL(J23:K23,1)))</f>
        <v>3</v>
      </c>
      <c r="E23">
        <f ca="1">IF($C23=1,OFFSET(E23,-1,0)+MAX(1,COUNTIF(QCI!$A$13:$A$24,OFFSET(ORÇAMENTO!E23,-1,0))),OFFSET(E23,-1,0))</f>
        <v>1</v>
      </c>
      <c r="F23">
        <f t="shared" ref="F23:F25" ca="1" si="36">IF($C23=1,0,IF($C23=2,OFFSET(F23,-1,0)+1,OFFSET(F23,-1,0)))</f>
        <v>2</v>
      </c>
      <c r="G23">
        <f t="shared" ref="G23:G25" ca="1" si="37">IF(AND($C23&lt;=2,$C23&lt;&gt;0),0,IF($C23=3,OFFSET(G23,-1,0)+1,OFFSET(G23,-1,0)))</f>
        <v>0</v>
      </c>
      <c r="H23">
        <f t="shared" ref="H23:H25" ca="1" si="38">IF(AND($C23&lt;=3,$C23&lt;&gt;0),0,IF($C23=4,OFFSET(H23,-1,0)+1,OFFSET(H23,-1,0)))</f>
        <v>0</v>
      </c>
      <c r="I23">
        <f t="shared" ref="I23:I25" ca="1" si="39">IF(AND($C23&lt;=4,$C23&lt;&gt;0),0,IF(AND($C23="S",$X23&gt;0),OFFSET(I23,-1,0)+1,OFFSET(I23,-1,0)))</f>
        <v>0</v>
      </c>
      <c r="J23">
        <f t="shared" ca="1" si="9"/>
        <v>20</v>
      </c>
      <c r="K23">
        <f ca="1">IF(OR($C23="S",$C23=0),0,MATCH(OFFSET($D23,0,$C23)+IF($C23&lt;&gt;1,1,COUNTIF(QCI!$A$13:$A$24,ORÇAMENTO!E23)),OFFSET($D23,1,$C23,ROW($C$43)-ROW($C23)),0))</f>
        <v>3</v>
      </c>
      <c r="L23" s="139" t="str">
        <f t="shared" ref="L23:L25" ca="1" si="40">IF(OR($X23&gt;0,$C23=1,$C23=2,$C23=3,$C23=4),"F","")</f>
        <v>F</v>
      </c>
      <c r="M23" s="140" t="s">
        <v>196</v>
      </c>
      <c r="N23" s="141" t="str">
        <f t="shared" ref="N23:N25" ca="1" si="41">CHOOSE(1+LOG(1+2*(C23=1)+4*(C23=2)+8*(C23=3)+16*(C23=4)+32*(C23="S"),2),"","Meta","Nível 2","Nível 3","Nível 4","Serviço")</f>
        <v>Nível 2</v>
      </c>
      <c r="O23" s="142" t="str">
        <f t="shared" ref="O23:O25" ca="1" si="42">IF(OR($C23=0,$L23=""),"-",CONCATENATE(E23&amp;".",IF(AND($A$5&gt;=2,$C23&gt;=2),F23&amp;".",""),IF(AND($A$5&gt;=3,$C23&gt;=3),G23&amp;".",""),IF(AND($A$5&gt;=4,$C23&gt;=4),H23&amp;".",""),IF($C23="S",I23&amp;".","")))</f>
        <v>1.2.</v>
      </c>
      <c r="P23" s="143" t="s">
        <v>247</v>
      </c>
      <c r="Q23" s="144"/>
      <c r="R23" s="145" t="str">
        <f ca="1">IF($C23="S",REFERENCIA.Descricao,"ADMINISTRAÇÃO DE OBRA")</f>
        <v>ADMINISTRAÇÃO DE OBRA</v>
      </c>
      <c r="S23" s="146" t="str">
        <f ca="1">REFERENCIA.Unidade</f>
        <v>-</v>
      </c>
      <c r="T23" s="147">
        <f ca="1">OFFSET(CÁLCULO!H$15,ROW($T23)-ROW(T$15),0)</f>
        <v>0</v>
      </c>
      <c r="U23" s="148"/>
      <c r="V23" s="149" t="s">
        <v>156</v>
      </c>
      <c r="W23" s="147">
        <f ca="1">IF($C23="S",ROUND(IF(TIPOORCAMENTO="Proposto",ORÇAMENTO.CustoUnitario*(1+$AH23),ORÇAMENTO.PrecoUnitarioLicitado),15-13*$AF$10),0)</f>
        <v>0</v>
      </c>
      <c r="X23" s="150">
        <f ca="1">IF($C23="S",IF(Import.TipoArredondamento&lt;&gt;"TransfereGOV",VTOTAL1,SUM(OFFSET(CÁLCULO!$AA$15,ROW($X23)-ROW($X$15),1):OFFSET(CÁLCULO!$AL$15,ROW($X23)-ROW($X$15),-1))),IF($C23=0,0,ROUND(SomaAgrup,15-13*$AF$11)))</f>
        <v>0</v>
      </c>
      <c r="Y23" s="151" t="s">
        <v>245</v>
      </c>
      <c r="Z23" t="str">
        <f t="shared" ref="Z23:Z25" ca="1" si="43">IF(AND($C23="S",$X23&gt;0),IF(ISBLANK($Y23),"RA",LEFT($Y23,2)),"")</f>
        <v/>
      </c>
      <c r="AA23" s="152">
        <f ca="1">IF($C23="S",IF($Z23="CP",$X23,IF($Z23="RA",(($X23)*QCI!$AA$3),0)),SomaAgrup)</f>
        <v>0</v>
      </c>
      <c r="AB23" s="153">
        <f t="shared" ca="1" si="19"/>
        <v>0</v>
      </c>
      <c r="AC23" s="154" t="str">
        <f ca="1">IF($N23="","",IF(ORÇAMENTO.Descricao="","DESCRIÇÃO",IF(AND($C23="S",ORÇAMENTO.Unidade=""),"UNIDADE",IF($X23&lt;0,"VALOR NEGATIVO",IF(OR(AND(TIPOORCAMENTO="Proposto",$AG23&lt;&gt;"",$AG23&gt;0,ORÇAMENTO.CustoUnitario&gt;$AG23),AND(TIPOORCAMENTO="LICITADO",ORÇAMENTO.PrecoUnitarioLicitado&gt;$AN23)),"ACIMA REF.","")))))</f>
        <v/>
      </c>
      <c r="AD23" s="671" t="str">
        <f ca="1">IF(C23&lt;=CRONO.NivelExibicao,MAX($AD$15:OFFSET(AD23,-1,0))+IF($C23&lt;&gt;1,1,MAX(1,COUNTIF(QCI!$A$13:$A$24,OFFSET($E23,-1,0)))),"")</f>
        <v/>
      </c>
      <c r="AE23" s="110" t="b">
        <f ca="1">IF(AND($C23="S",ORÇAMENTO.CodBarra&lt;&gt;""),IF(ORÇAMENTO.Fonte="",ORÇAMENTO.CodBarra,CONCATENATE(ORÇAMENTO.Fonte," ",ORÇAMENTO.CodBarra)))</f>
        <v>0</v>
      </c>
      <c r="AF23" s="155" t="str">
        <f ca="1">IF(ISERROR(INDIRECT(ORÇAMENTO.BancoRef)),"(abra o arquivo 'Referência "&amp;Excel_BuiltIn_Database&amp;".xlsm)",IF(OR($C23&lt;&gt;"S",ORÇAMENTO.CodBarra=""),"(Sem Código)",IF(ISERROR(MATCH($AE23,INDIRECT(ORÇAMENTO.BancoRef),0)),"(Código não identificado nas referências)",MATCH($AE23,INDIRECT(ORÇAMENTO.BancoRef),0))))</f>
        <v>(abra o arquivo 'Referência 07-2024.xlsm)</v>
      </c>
      <c r="AG23" s="574">
        <f ca="1">ROUND(IF(DESONERACAO="sim",REFERENCIA.Desonerado,REFERENCIA.NaoDesonerado),2)</f>
        <v>0</v>
      </c>
      <c r="AH23" s="575">
        <f t="shared" ca="1" si="20"/>
        <v>0.25679999999999997</v>
      </c>
      <c r="AJ23" s="577"/>
      <c r="AL23" s="607"/>
      <c r="AM23" s="426">
        <f t="shared" ca="1" si="0"/>
        <v>0</v>
      </c>
      <c r="AN23" s="650">
        <f t="shared" ca="1" si="21"/>
        <v>0</v>
      </c>
    </row>
    <row r="24" spans="1:40">
      <c r="A24" t="str">
        <f t="shared" si="17"/>
        <v>S</v>
      </c>
      <c r="B24">
        <f t="shared" ca="1" si="33"/>
        <v>2</v>
      </c>
      <c r="C24" t="str">
        <f t="shared" ca="1" si="34"/>
        <v>S</v>
      </c>
      <c r="D24">
        <f t="shared" ca="1" si="35"/>
        <v>0</v>
      </c>
      <c r="E24">
        <f ca="1">IF($C24=1,OFFSET(E24,-1,0)+MAX(1,COUNTIF(QCI!$A$13:$A$24,OFFSET(ORÇAMENTO!E24,-1,0))),OFFSET(E24,-1,0))</f>
        <v>1</v>
      </c>
      <c r="F24">
        <f t="shared" ca="1" si="36"/>
        <v>2</v>
      </c>
      <c r="G24">
        <f t="shared" ca="1" si="37"/>
        <v>0</v>
      </c>
      <c r="H24">
        <f t="shared" ca="1" si="38"/>
        <v>0</v>
      </c>
      <c r="I24">
        <f t="shared" ca="1" si="39"/>
        <v>0</v>
      </c>
      <c r="J24">
        <f t="shared" ca="1" si="9"/>
        <v>0</v>
      </c>
      <c r="K24">
        <f ca="1">IF(OR($C24="S",$C24=0),0,MATCH(OFFSET($D24,0,$C24)+IF($C24&lt;&gt;1,1,COUNTIF(QCI!$A$13:$A$24,ORÇAMENTO!E24)),OFFSET($D24,1,$C24,ROW($C$43)-ROW($C24)),0))</f>
        <v>0</v>
      </c>
      <c r="L24" s="139" t="str">
        <f t="shared" ca="1" si="40"/>
        <v/>
      </c>
      <c r="M24" s="140" t="s">
        <v>199</v>
      </c>
      <c r="N24" s="141" t="str">
        <f t="shared" ca="1" si="41"/>
        <v>Serviço</v>
      </c>
      <c r="O24" s="142" t="str">
        <f t="shared" ca="1" si="42"/>
        <v>-</v>
      </c>
      <c r="P24" s="143" t="s">
        <v>247</v>
      </c>
      <c r="Q24" s="668" t="s">
        <v>482</v>
      </c>
      <c r="R24" s="145" t="str">
        <f ca="1">IF($C24="S",REFERENCIA.Descricao,"(digite a descrição aqui)")</f>
        <v>(abra o arquivo 'Referência 07-2024.xlsm)</v>
      </c>
      <c r="S24" s="146" t="str">
        <f ca="1">REFERENCIA.Unidade</f>
        <v>-</v>
      </c>
      <c r="T24" s="147">
        <f ca="1">OFFSET(CÁLCULO!H$15,ROW($T24)-ROW(T$15),0)</f>
        <v>90</v>
      </c>
      <c r="U24" s="148">
        <f ca="1">AG24</f>
        <v>0</v>
      </c>
      <c r="V24" s="149" t="s">
        <v>156</v>
      </c>
      <c r="W24" s="147">
        <f ca="1">IF($C24="S",ROUND(IF(TIPOORCAMENTO="Proposto",ORÇAMENTO.CustoUnitario*(1+$AH24),ORÇAMENTO.PrecoUnitarioLicitado),15-13*$AF$10),0)</f>
        <v>0</v>
      </c>
      <c r="X24" s="150">
        <f ca="1">IF($C24="S",IF(Import.TipoArredondamento&lt;&gt;"TransfereGOV",VTOTAL1,SUM(OFFSET(CÁLCULO!$AA$15,ROW($X24)-ROW($X$15),1):OFFSET(CÁLCULO!$AL$15,ROW($X24)-ROW($X$15),-1))),IF($C24=0,0,ROUND(SomaAgrup,15-13*$AF$11)))</f>
        <v>0</v>
      </c>
      <c r="Y24" s="151" t="s">
        <v>245</v>
      </c>
      <c r="Z24" t="str">
        <f t="shared" ca="1" si="43"/>
        <v/>
      </c>
      <c r="AA24" s="152">
        <f ca="1">IF($C24="S",IF($Z24="CP",$X24,IF($Z24="RA",(($X24)*QCI!$AA$3),0)),SomaAgrup)</f>
        <v>0</v>
      </c>
      <c r="AB24" s="153">
        <f t="shared" ca="1" si="19"/>
        <v>0</v>
      </c>
      <c r="AC24" s="154" t="str">
        <f ca="1">IF($N24="","",IF(ORÇAMENTO.Descricao="","DESCRIÇÃO",IF(AND($C24="S",ORÇAMENTO.Unidade=""),"UNIDADE",IF($X24&lt;0,"VALOR NEGATIVO",IF(OR(AND(TIPOORCAMENTO="Proposto",$AG24&lt;&gt;"",$AG24&gt;0,ORÇAMENTO.CustoUnitario&gt;$AG24),AND(TIPOORCAMENTO="LICITADO",ORÇAMENTO.PrecoUnitarioLicitado&gt;$AN24)),"ACIMA REF.","")))))</f>
        <v/>
      </c>
      <c r="AD24" s="671" t="str">
        <f ca="1">IF(C24&lt;=CRONO.NivelExibicao,MAX($AD$15:OFFSET(AD24,-1,0))+IF($C24&lt;&gt;1,1,MAX(1,COUNTIF(QCI!$A$13:$A$24,OFFSET($E24,-1,0)))),"")</f>
        <v/>
      </c>
      <c r="AE24" s="110" t="str">
        <f ca="1">IF(AND($C24="S",ORÇAMENTO.CodBarra&lt;&gt;""),IF(ORÇAMENTO.Fonte="",ORÇAMENTO.CodBarra,CONCATENATE(ORÇAMENTO.Fonte," ",ORÇAMENTO.CodBarra)))</f>
        <v>SINAPI 90776</v>
      </c>
      <c r="AF24" s="155" t="str">
        <f ca="1">IF(ISERROR(INDIRECT(ORÇAMENTO.BancoRef)),"(abra o arquivo 'Referência "&amp;Excel_BuiltIn_Database&amp;".xlsm)",IF(OR($C24&lt;&gt;"S",ORÇAMENTO.CodBarra=""),"(Sem Código)",IF(ISERROR(MATCH($AE24,INDIRECT(ORÇAMENTO.BancoRef),0)),"(Código não identificado nas referências)",MATCH($AE24,INDIRECT(ORÇAMENTO.BancoRef),0))))</f>
        <v>(abra o arquivo 'Referência 07-2024.xlsm)</v>
      </c>
      <c r="AG24" s="574">
        <f ca="1">ROUND(IF(DESONERACAO="sim",REFERENCIA.Desonerado,REFERENCIA.NaoDesonerado),2)</f>
        <v>0</v>
      </c>
      <c r="AH24" s="575">
        <f t="shared" ca="1" si="20"/>
        <v>0.25679999999999997</v>
      </c>
      <c r="AJ24" s="577">
        <v>90</v>
      </c>
      <c r="AL24" s="607"/>
      <c r="AM24" s="426">
        <f t="shared" ca="1" si="0"/>
        <v>0</v>
      </c>
      <c r="AN24" s="650">
        <f t="shared" ca="1" si="21"/>
        <v>0</v>
      </c>
    </row>
    <row r="25" spans="1:40" ht="25.5">
      <c r="A25" t="str">
        <f t="shared" si="17"/>
        <v>S</v>
      </c>
      <c r="B25">
        <f t="shared" ca="1" si="33"/>
        <v>2</v>
      </c>
      <c r="C25" t="str">
        <f t="shared" ca="1" si="34"/>
        <v>S</v>
      </c>
      <c r="D25">
        <f t="shared" ca="1" si="35"/>
        <v>0</v>
      </c>
      <c r="E25">
        <f ca="1">IF($C25=1,OFFSET(E25,-1,0)+MAX(1,COUNTIF(QCI!$A$13:$A$24,OFFSET(ORÇAMENTO!E25,-1,0))),OFFSET(E25,-1,0))</f>
        <v>1</v>
      </c>
      <c r="F25">
        <f t="shared" ca="1" si="36"/>
        <v>2</v>
      </c>
      <c r="G25">
        <f t="shared" ca="1" si="37"/>
        <v>0</v>
      </c>
      <c r="H25">
        <f t="shared" ca="1" si="38"/>
        <v>0</v>
      </c>
      <c r="I25">
        <f t="shared" ca="1" si="39"/>
        <v>0</v>
      </c>
      <c r="J25">
        <f t="shared" ca="1" si="9"/>
        <v>0</v>
      </c>
      <c r="K25">
        <f ca="1">IF(OR($C25="S",$C25=0),0,MATCH(OFFSET($D25,0,$C25)+IF($C25&lt;&gt;1,1,COUNTIF(QCI!$A$13:$A$24,ORÇAMENTO!E25)),OFFSET($D25,1,$C25,ROW($C$43)-ROW($C25)),0))</f>
        <v>0</v>
      </c>
      <c r="L25" s="139" t="str">
        <f t="shared" ca="1" si="40"/>
        <v/>
      </c>
      <c r="M25" s="140" t="s">
        <v>199</v>
      </c>
      <c r="N25" s="141" t="str">
        <f t="shared" ca="1" si="41"/>
        <v>Serviço</v>
      </c>
      <c r="O25" s="142" t="str">
        <f t="shared" ca="1" si="42"/>
        <v>-</v>
      </c>
      <c r="P25" s="143" t="s">
        <v>247</v>
      </c>
      <c r="Q25" s="668" t="s">
        <v>483</v>
      </c>
      <c r="R25" s="145" t="str">
        <f ca="1">IF($C25="S",REFERENCIA.Descricao,"(digite a descrição aqui)")</f>
        <v>(abra o arquivo 'Referência 07-2024.xlsm)</v>
      </c>
      <c r="S25" s="146" t="str">
        <f ca="1">REFERENCIA.Unidade</f>
        <v>-</v>
      </c>
      <c r="T25" s="147">
        <f ca="1">OFFSET(CÁLCULO!H$15,ROW($T25)-ROW(T$15),0)</f>
        <v>26.66</v>
      </c>
      <c r="U25" s="148">
        <f ca="1">AG25</f>
        <v>0</v>
      </c>
      <c r="V25" s="149" t="s">
        <v>156</v>
      </c>
      <c r="W25" s="147">
        <f ca="1">IF($C25="S",ROUND(IF(TIPOORCAMENTO="Proposto",ORÇAMENTO.CustoUnitario*(1+$AH25),ORÇAMENTO.PrecoUnitarioLicitado),15-13*$AF$10),0)</f>
        <v>0</v>
      </c>
      <c r="X25" s="150">
        <f ca="1">IF($C25="S",IF(Import.TipoArredondamento&lt;&gt;"TransfereGOV",VTOTAL1,SUM(OFFSET(CÁLCULO!$AA$15,ROW($X25)-ROW($X$15),1):OFFSET(CÁLCULO!$AL$15,ROW($X25)-ROW($X$15),-1))),IF($C25=0,0,ROUND(SomaAgrup,15-13*$AF$11)))</f>
        <v>0</v>
      </c>
      <c r="Y25" s="151" t="s">
        <v>245</v>
      </c>
      <c r="Z25" t="str">
        <f t="shared" ca="1" si="43"/>
        <v/>
      </c>
      <c r="AA25" s="152">
        <f ca="1">IF($C25="S",IF($Z25="CP",$X25,IF($Z25="RA",(($X25)*QCI!$AA$3),0)),SomaAgrup)</f>
        <v>0</v>
      </c>
      <c r="AB25" s="153">
        <f t="shared" ca="1" si="19"/>
        <v>0</v>
      </c>
      <c r="AC25" s="154" t="str">
        <f ca="1">IF($N25="","",IF(ORÇAMENTO.Descricao="","DESCRIÇÃO",IF(AND($C25="S",ORÇAMENTO.Unidade=""),"UNIDADE",IF($X25&lt;0,"VALOR NEGATIVO",IF(OR(AND(TIPOORCAMENTO="Proposto",$AG25&lt;&gt;"",$AG25&gt;0,ORÇAMENTO.CustoUnitario&gt;$AG25),AND(TIPOORCAMENTO="LICITADO",ORÇAMENTO.PrecoUnitarioLicitado&gt;$AN25)),"ACIMA REF.","")))))</f>
        <v/>
      </c>
      <c r="AD25" s="671" t="str">
        <f ca="1">IF(C25&lt;=CRONO.NivelExibicao,MAX($AD$15:OFFSET(AD25,-1,0))+IF($C25&lt;&gt;1,1,MAX(1,COUNTIF(QCI!$A$13:$A$24,OFFSET($E25,-1,0)))),"")</f>
        <v/>
      </c>
      <c r="AE25" s="110" t="str">
        <f ca="1">IF(AND($C25="S",ORÇAMENTO.CodBarra&lt;&gt;""),IF(ORÇAMENTO.Fonte="",ORÇAMENTO.CodBarra,CONCATENATE(ORÇAMENTO.Fonte," ",ORÇAMENTO.CodBarra)))</f>
        <v>SINAPI 90778</v>
      </c>
      <c r="AF25" s="155" t="str">
        <f ca="1">IF(ISERROR(INDIRECT(ORÇAMENTO.BancoRef)),"(abra o arquivo 'Referência "&amp;Excel_BuiltIn_Database&amp;".xlsm)",IF(OR($C25&lt;&gt;"S",ORÇAMENTO.CodBarra=""),"(Sem Código)",IF(ISERROR(MATCH($AE25,INDIRECT(ORÇAMENTO.BancoRef),0)),"(Código não identificado nas referências)",MATCH($AE25,INDIRECT(ORÇAMENTO.BancoRef),0))))</f>
        <v>(abra o arquivo 'Referência 07-2024.xlsm)</v>
      </c>
      <c r="AG25" s="574">
        <f ca="1">ROUND(IF(DESONERACAO="sim",REFERENCIA.Desonerado,REFERENCIA.NaoDesonerado),2)</f>
        <v>0</v>
      </c>
      <c r="AH25" s="575">
        <f t="shared" ca="1" si="20"/>
        <v>0.25679999999999997</v>
      </c>
      <c r="AJ25" s="577">
        <v>26.66</v>
      </c>
      <c r="AL25" s="607"/>
      <c r="AM25" s="426">
        <f t="shared" ca="1" si="0"/>
        <v>0</v>
      </c>
      <c r="AN25" s="650">
        <f t="shared" ca="1" si="21"/>
        <v>0</v>
      </c>
    </row>
    <row r="26" spans="1:40">
      <c r="A26">
        <f t="shared" si="1"/>
        <v>2</v>
      </c>
      <c r="B26">
        <f t="shared" ca="1" si="2"/>
        <v>2</v>
      </c>
      <c r="C26">
        <f t="shared" ca="1" si="3"/>
        <v>2</v>
      </c>
      <c r="D26">
        <f t="shared" ca="1" si="4"/>
        <v>2</v>
      </c>
      <c r="E26">
        <f ca="1">IF($C26=1,OFFSET(E26,-1,0)+MAX(1,COUNTIF(QCI!$A$13:$A$24,OFFSET(ORÇAMENTO!E26,-1,0))),OFFSET(E26,-1,0))</f>
        <v>1</v>
      </c>
      <c r="F26">
        <f t="shared" ca="1" si="5"/>
        <v>3</v>
      </c>
      <c r="G26">
        <f t="shared" ca="1" si="6"/>
        <v>0</v>
      </c>
      <c r="H26">
        <f t="shared" ca="1" si="7"/>
        <v>0</v>
      </c>
      <c r="I26">
        <f t="shared" ca="1" si="8"/>
        <v>0</v>
      </c>
      <c r="J26">
        <f t="shared" ca="1" si="9"/>
        <v>17</v>
      </c>
      <c r="K26">
        <f ca="1">IF(OR($C26="S",$C26=0),0,MATCH(OFFSET($D26,0,$C26)+IF($C26&lt;&gt;1,1,COUNTIF(QCI!$A$13:$A$24,ORÇAMENTO!E26)),OFFSET($D26,1,$C26,ROW($C$43)-ROW($C26)),0))</f>
        <v>2</v>
      </c>
      <c r="L26" s="139" t="str">
        <f t="shared" ca="1" si="10"/>
        <v>F</v>
      </c>
      <c r="M26" s="140" t="s">
        <v>196</v>
      </c>
      <c r="N26" s="141" t="str">
        <f t="shared" ca="1" si="11"/>
        <v>Nível 2</v>
      </c>
      <c r="O26" s="142" t="str">
        <f t="shared" ca="1" si="12"/>
        <v>1.3.</v>
      </c>
      <c r="P26" s="143" t="s">
        <v>247</v>
      </c>
      <c r="Q26" s="144"/>
      <c r="R26" s="145" t="str">
        <f ca="1">IF($C26="S",REFERENCIA.Descricao,"MOBILIZAÇÃO")</f>
        <v>MOBILIZAÇÃO</v>
      </c>
      <c r="S26" s="146" t="str">
        <f ca="1">REFERENCIA.Unidade</f>
        <v>-</v>
      </c>
      <c r="T26" s="147">
        <f ca="1">OFFSET(CÁLCULO!H$15,ROW($T26)-ROW(T$15),0)</f>
        <v>0</v>
      </c>
      <c r="U26" s="148"/>
      <c r="V26" s="149" t="s">
        <v>156</v>
      </c>
      <c r="W26" s="147">
        <f ca="1">IF($C26="S",ROUND(IF(TIPOORCAMENTO="Proposto",ORÇAMENTO.CustoUnitario*(1+$AH26),ORÇAMENTO.PrecoUnitarioLicitado),15-13*$AF$10),0)</f>
        <v>0</v>
      </c>
      <c r="X26" s="150">
        <f ca="1">IF($C26="S",IF(Import.TipoArredondamento&lt;&gt;"TransfereGOV",VTOTAL1,SUM(OFFSET(CÁLCULO!$AA$15,ROW($X26)-ROW($X$15),1):OFFSET(CÁLCULO!$AL$15,ROW($X26)-ROW($X$15),-1))),IF($C26=0,0,ROUND(SomaAgrup,15-13*$AF$11)))</f>
        <v>4133.84</v>
      </c>
      <c r="Y26" s="151" t="s">
        <v>245</v>
      </c>
      <c r="Z26" t="str">
        <f t="shared" ca="1" si="13"/>
        <v/>
      </c>
      <c r="AA26" s="152">
        <f ca="1">IF($C26="S",IF($Z26="CP",$X26,IF($Z26="RA",(($X26)*QCI!$AA$3),0)),SomaAgrup)</f>
        <v>0</v>
      </c>
      <c r="AB26" s="153">
        <f t="shared" ca="1" si="14"/>
        <v>0</v>
      </c>
      <c r="AC26" s="154" t="str">
        <f ca="1">IF($N26="","",IF(ORÇAMENTO.Descricao="","DESCRIÇÃO",IF(AND($C26="S",ORÇAMENTO.Unidade=""),"UNIDADE",IF($X26&lt;0,"VALOR NEGATIVO",IF(OR(AND(TIPOORCAMENTO="Proposto",$AG26&lt;&gt;"",$AG26&gt;0,ORÇAMENTO.CustoUnitario&gt;$AG26),AND(TIPOORCAMENTO="LICITADO",ORÇAMENTO.PrecoUnitarioLicitado&gt;$AN26)),"ACIMA REF.","")))))</f>
        <v/>
      </c>
      <c r="AD26" s="100" t="str">
        <f ca="1">IF(C26&lt;=CRONO.NivelExibicao,MAX($AD$15:OFFSET(AD26,-1,0))+IF($C26&lt;&gt;1,1,MAX(1,COUNTIF(QCI!$A$13:$A$24,OFFSET($E26,-1,0)))),"")</f>
        <v/>
      </c>
      <c r="AE26" s="110" t="b">
        <f ca="1">IF(AND($C26="S",ORÇAMENTO.CodBarra&lt;&gt;""),IF(ORÇAMENTO.Fonte="",ORÇAMENTO.CodBarra,CONCATENATE(ORÇAMENTO.Fonte," ",ORÇAMENTO.CodBarra)))</f>
        <v>0</v>
      </c>
      <c r="AF26" s="155" t="str">
        <f ca="1">IF(ISERROR(INDIRECT(ORÇAMENTO.BancoRef)),"(abra o arquivo 'Referência "&amp;Excel_BuiltIn_Database&amp;".xlsm)",IF(OR($C26&lt;&gt;"S",ORÇAMENTO.CodBarra=""),"(Sem Código)",IF(ISERROR(MATCH($AE26,INDIRECT(ORÇAMENTO.BancoRef),0)),"(Código não identificado nas referências)",MATCH($AE26,INDIRECT(ORÇAMENTO.BancoRef),0))))</f>
        <v>(abra o arquivo 'Referência 07-2024.xlsm)</v>
      </c>
      <c r="AG26" s="574">
        <f ca="1">ROUND(IF(DESONERACAO="sim",REFERENCIA.Desonerado,REFERENCIA.NaoDesonerado),2)</f>
        <v>0</v>
      </c>
      <c r="AH26" s="575">
        <f t="shared" ca="1" si="15"/>
        <v>0.25679999999999997</v>
      </c>
      <c r="AJ26" s="577"/>
      <c r="AL26" s="607"/>
      <c r="AM26" s="426">
        <f t="shared" ca="1" si="0"/>
        <v>4133.84</v>
      </c>
      <c r="AN26" s="650">
        <f t="shared" ca="1" si="16"/>
        <v>0</v>
      </c>
    </row>
    <row r="27" spans="1:40" ht="25.5">
      <c r="A27" t="str">
        <f t="shared" si="1"/>
        <v>S</v>
      </c>
      <c r="B27">
        <f t="shared" ca="1" si="2"/>
        <v>2</v>
      </c>
      <c r="C27" t="str">
        <f t="shared" ca="1" si="3"/>
        <v>S</v>
      </c>
      <c r="D27">
        <f t="shared" ca="1" si="4"/>
        <v>0</v>
      </c>
      <c r="E27">
        <f ca="1">IF($C27=1,OFFSET(E27,-1,0)+MAX(1,COUNTIF(QCI!$A$13:$A$24,OFFSET(ORÇAMENTO!E27,-1,0))),OFFSET(E27,-1,0))</f>
        <v>1</v>
      </c>
      <c r="F27">
        <f t="shared" ca="1" si="5"/>
        <v>3</v>
      </c>
      <c r="G27">
        <f t="shared" ca="1" si="6"/>
        <v>0</v>
      </c>
      <c r="H27">
        <f t="shared" ca="1" si="7"/>
        <v>0</v>
      </c>
      <c r="I27">
        <f t="shared" ca="1" si="8"/>
        <v>1</v>
      </c>
      <c r="J27">
        <f t="shared" ca="1" si="9"/>
        <v>0</v>
      </c>
      <c r="K27">
        <f ca="1">IF(OR($C27="S",$C27=0),0,MATCH(OFFSET($D27,0,$C27)+IF($C27&lt;&gt;1,1,COUNTIF(QCI!$A$13:$A$24,ORÇAMENTO!E27)),OFFSET($D27,1,$C27,ROW($C$43)-ROW($C27)),0))</f>
        <v>0</v>
      </c>
      <c r="L27" s="139" t="str">
        <f t="shared" ca="1" si="10"/>
        <v>F</v>
      </c>
      <c r="M27" s="140" t="s">
        <v>199</v>
      </c>
      <c r="N27" s="141" t="str">
        <f t="shared" ca="1" si="11"/>
        <v>Serviço</v>
      </c>
      <c r="O27" s="142" t="str">
        <f t="shared" ca="1" si="12"/>
        <v>1.3.1.</v>
      </c>
      <c r="P27" s="362" t="s">
        <v>459</v>
      </c>
      <c r="Q27" s="668" t="s">
        <v>460</v>
      </c>
      <c r="R27" s="145" t="str">
        <f ca="1">IF($C27="S",REFERENCIA.Descricao,"(digite a descrição aqui)")</f>
        <v>(abra o arquivo 'Referência 07-2024.xlsm)</v>
      </c>
      <c r="S27" s="146" t="str">
        <f ca="1">REFERENCIA.Unidade</f>
        <v>-</v>
      </c>
      <c r="T27" s="147">
        <f ca="1">OFFSET(CÁLCULO!H$15,ROW($T27)-ROW(T$15),0)</f>
        <v>6561.65</v>
      </c>
      <c r="U27" s="148">
        <v>0.5</v>
      </c>
      <c r="V27" s="149" t="s">
        <v>156</v>
      </c>
      <c r="W27" s="147">
        <f ca="1">IF($C27="S",ROUND(IF(TIPOORCAMENTO="Proposto",ORÇAMENTO.CustoUnitario*(1+$AH27),ORÇAMENTO.PrecoUnitarioLicitado),15-13*$AF$10),0)</f>
        <v>0.63</v>
      </c>
      <c r="X27" s="150">
        <f ca="1">IF($C27="S",IF(Import.TipoArredondamento&lt;&gt;"TransfereGOV",VTOTAL1,SUM(OFFSET(CÁLCULO!$AA$15,ROW($X27)-ROW($X$15),1):OFFSET(CÁLCULO!$AL$15,ROW($X27)-ROW($X$15),-1))),IF($C27=0,0,ROUND(SomaAgrup,15-13*$AF$11)))</f>
        <v>4133.84</v>
      </c>
      <c r="Y27" s="151" t="s">
        <v>245</v>
      </c>
      <c r="Z27" t="str">
        <f t="shared" ca="1" si="13"/>
        <v>RA</v>
      </c>
      <c r="AA27" s="152">
        <f ca="1">IF($C27="S",IF($Z27="CP",$X27,IF($Z27="RA",(($X27)*QCI!$AA$3),0)),SomaAgrup)</f>
        <v>0</v>
      </c>
      <c r="AB27" s="153">
        <f t="shared" ca="1" si="14"/>
        <v>0</v>
      </c>
      <c r="AC27" s="154" t="str">
        <f ca="1">IF($N27="","",IF(ORÇAMENTO.Descricao="","DESCRIÇÃO",IF(AND($C27="S",ORÇAMENTO.Unidade=""),"UNIDADE",IF($X27&lt;0,"VALOR NEGATIVO",IF(OR(AND(TIPOORCAMENTO="Proposto",$AG27&lt;&gt;"",$AG27&gt;0,ORÇAMENTO.CustoUnitario&gt;$AG27),AND(TIPOORCAMENTO="LICITADO",ORÇAMENTO.PrecoUnitarioLicitado&gt;$AN27)),"ACIMA REF.","")))))</f>
        <v/>
      </c>
      <c r="AD27" s="100" t="str">
        <f ca="1">IF(C27&lt;=CRONO.NivelExibicao,MAX($AD$15:OFFSET(AD27,-1,0))+IF($C27&lt;&gt;1,1,MAX(1,COUNTIF(QCI!$A$13:$A$24,OFFSET($E27,-1,0)))),"")</f>
        <v/>
      </c>
      <c r="AE27" s="110" t="str">
        <f ca="1">IF(AND($C27="S",ORÇAMENTO.CodBarra&lt;&gt;""),IF(ORÇAMENTO.Fonte="",ORÇAMENTO.CodBarra,CONCATENATE(ORÇAMENTO.Fonte," ",ORÇAMENTO.CodBarra)))</f>
        <v>SETOP ED-50392</v>
      </c>
      <c r="AF27" s="155" t="str">
        <f ca="1">IF(ISERROR(INDIRECT(ORÇAMENTO.BancoRef)),"(abra o arquivo 'Referência "&amp;Excel_BuiltIn_Database&amp;".xlsm)",IF(OR($C27&lt;&gt;"S",ORÇAMENTO.CodBarra=""),"(Sem Código)",IF(ISERROR(MATCH($AE27,INDIRECT(ORÇAMENTO.BancoRef),0)),"(Código não identificado nas referências)",MATCH($AE27,INDIRECT(ORÇAMENTO.BancoRef),0))))</f>
        <v>(abra o arquivo 'Referência 07-2024.xlsm)</v>
      </c>
      <c r="AG27" s="574">
        <f ca="1">ROUND(IF(DESONERACAO="sim",REFERENCIA.Desonerado,REFERENCIA.NaoDesonerado),2)</f>
        <v>0</v>
      </c>
      <c r="AH27" s="575">
        <f t="shared" ca="1" si="15"/>
        <v>0.25679999999999997</v>
      </c>
      <c r="AJ27" s="577">
        <v>6561.65</v>
      </c>
      <c r="AL27" s="607">
        <v>8000</v>
      </c>
      <c r="AM27" s="426">
        <f t="shared" ca="1" si="0"/>
        <v>4133.84</v>
      </c>
      <c r="AN27" s="650">
        <f t="shared" ca="1" si="16"/>
        <v>0.63</v>
      </c>
    </row>
    <row r="28" spans="1:40">
      <c r="A28">
        <f t="shared" si="1"/>
        <v>2</v>
      </c>
      <c r="B28">
        <f t="shared" ca="1" si="2"/>
        <v>2</v>
      </c>
      <c r="C28">
        <f t="shared" ca="1" si="3"/>
        <v>2</v>
      </c>
      <c r="D28">
        <f t="shared" ca="1" si="4"/>
        <v>9</v>
      </c>
      <c r="E28">
        <f ca="1">IF($C28=1,OFFSET(E28,-1,0)+MAX(1,COUNTIF(QCI!$A$13:$A$24,OFFSET(ORÇAMENTO!E28,-1,0))),OFFSET(E28,-1,0))</f>
        <v>1</v>
      </c>
      <c r="F28">
        <f t="shared" ca="1" si="5"/>
        <v>4</v>
      </c>
      <c r="G28">
        <f t="shared" ca="1" si="6"/>
        <v>0</v>
      </c>
      <c r="H28">
        <f t="shared" ca="1" si="7"/>
        <v>0</v>
      </c>
      <c r="I28">
        <f t="shared" ca="1" si="8"/>
        <v>0</v>
      </c>
      <c r="J28">
        <f t="shared" ca="1" si="9"/>
        <v>15</v>
      </c>
      <c r="K28">
        <f ca="1">IF(OR($C28="S",$C28=0),0,MATCH(OFFSET($D28,0,$C28)+IF($C28&lt;&gt;1,1,COUNTIF(QCI!$A$13:$A$24,ORÇAMENTO!E28)),OFFSET($D28,1,$C28,ROW($C$43)-ROW($C28)),0))</f>
        <v>9</v>
      </c>
      <c r="L28" s="139" t="str">
        <f t="shared" ca="1" si="10"/>
        <v>F</v>
      </c>
      <c r="M28" s="140" t="s">
        <v>196</v>
      </c>
      <c r="N28" s="141" t="str">
        <f t="shared" ca="1" si="11"/>
        <v>Nível 2</v>
      </c>
      <c r="O28" s="142" t="str">
        <f t="shared" ca="1" si="12"/>
        <v>1.4.</v>
      </c>
      <c r="P28" s="143" t="s">
        <v>247</v>
      </c>
      <c r="Q28" s="144"/>
      <c r="R28" s="145" t="str">
        <f ca="1">IF($C28="S",REFERENCIA.Descricao,"RECAPEAMENTO ASFÁLTICO")</f>
        <v>RECAPEAMENTO ASFÁLTICO</v>
      </c>
      <c r="S28" s="146" t="str">
        <f ca="1">REFERENCIA.Unidade</f>
        <v>-</v>
      </c>
      <c r="T28" s="147">
        <f ca="1">OFFSET(CÁLCULO!H$15,ROW($T28)-ROW(T$15),0)</f>
        <v>0</v>
      </c>
      <c r="U28" s="148"/>
      <c r="V28" s="149" t="s">
        <v>156</v>
      </c>
      <c r="W28" s="147">
        <f ca="1">IF($C28="S",ROUND(IF(TIPOORCAMENTO="Proposto",ORÇAMENTO.CustoUnitario*(1+$AH28),ORÇAMENTO.PrecoUnitarioLicitado),15-13*$AF$10),0)</f>
        <v>0</v>
      </c>
      <c r="X28" s="150">
        <f ca="1">IF($C28="S",IF(Import.TipoArredondamento&lt;&gt;"TransfereGOV",VTOTAL1,SUM(OFFSET(CÁLCULO!$AA$15,ROW($X28)-ROW($X$15),1):OFFSET(CÁLCULO!$AL$15,ROW($X28)-ROW($X$15),-1))),IF($C28=0,0,ROUND(SomaAgrup,15-13*$AF$11)))</f>
        <v>0</v>
      </c>
      <c r="Y28" s="151" t="s">
        <v>245</v>
      </c>
      <c r="Z28" t="str">
        <f t="shared" ca="1" si="13"/>
        <v/>
      </c>
      <c r="AA28" s="152">
        <f ca="1">IF($C28="S",IF($Z28="CP",$X28,IF($Z28="RA",(($X28)*QCI!$AA$3),0)),SomaAgrup)</f>
        <v>0</v>
      </c>
      <c r="AB28" s="153">
        <f t="shared" ca="1" si="14"/>
        <v>0</v>
      </c>
      <c r="AC28" s="154" t="str">
        <f ca="1">IF($N28="","",IF(ORÇAMENTO.Descricao="","DESCRIÇÃO",IF(AND($C28="S",ORÇAMENTO.Unidade=""),"UNIDADE",IF($X28&lt;0,"VALOR NEGATIVO",IF(OR(AND(TIPOORCAMENTO="Proposto",$AG28&lt;&gt;"",$AG28&gt;0,ORÇAMENTO.CustoUnitario&gt;$AG28),AND(TIPOORCAMENTO="LICITADO",ORÇAMENTO.PrecoUnitarioLicitado&gt;$AN28)),"ACIMA REF.","")))))</f>
        <v/>
      </c>
      <c r="AD28" s="100" t="str">
        <f ca="1">IF(C28&lt;=CRONO.NivelExibicao,MAX($AD$15:OFFSET(AD28,-1,0))+IF($C28&lt;&gt;1,1,MAX(1,COUNTIF(QCI!$A$13:$A$24,OFFSET($E28,-1,0)))),"")</f>
        <v/>
      </c>
      <c r="AE28" s="110" t="b">
        <f ca="1">IF(AND($C28="S",ORÇAMENTO.CodBarra&lt;&gt;""),IF(ORÇAMENTO.Fonte="",ORÇAMENTO.CodBarra,CONCATENATE(ORÇAMENTO.Fonte," ",ORÇAMENTO.CodBarra)))</f>
        <v>0</v>
      </c>
      <c r="AF28" s="155" t="str">
        <f ca="1">IF(ISERROR(INDIRECT(ORÇAMENTO.BancoRef)),"(abra o arquivo 'Referência "&amp;Excel_BuiltIn_Database&amp;".xlsm)",IF(OR($C28&lt;&gt;"S",ORÇAMENTO.CodBarra=""),"(Sem Código)",IF(ISERROR(MATCH($AE28,INDIRECT(ORÇAMENTO.BancoRef),0)),"(Código não identificado nas referências)",MATCH($AE28,INDIRECT(ORÇAMENTO.BancoRef),0))))</f>
        <v>(abra o arquivo 'Referência 07-2024.xlsm)</v>
      </c>
      <c r="AG28" s="574">
        <f ca="1">ROUND(IF(DESONERACAO="sim",REFERENCIA.Desonerado,REFERENCIA.NaoDesonerado),2)</f>
        <v>0</v>
      </c>
      <c r="AH28" s="575">
        <f t="shared" ca="1" si="15"/>
        <v>0.25679999999999997</v>
      </c>
      <c r="AJ28" s="577"/>
      <c r="AL28" s="607"/>
      <c r="AM28" s="426">
        <f t="shared" ca="1" si="0"/>
        <v>0</v>
      </c>
      <c r="AN28" s="650">
        <f t="shared" ca="1" si="16"/>
        <v>0</v>
      </c>
    </row>
    <row r="29" spans="1:40" ht="25.5">
      <c r="A29" t="str">
        <f t="shared" si="1"/>
        <v>S</v>
      </c>
      <c r="B29">
        <f t="shared" ca="1" si="2"/>
        <v>2</v>
      </c>
      <c r="C29" t="str">
        <f t="shared" ca="1" si="3"/>
        <v>S</v>
      </c>
      <c r="D29">
        <f t="shared" ca="1" si="4"/>
        <v>0</v>
      </c>
      <c r="E29">
        <f ca="1">IF($C29=1,OFFSET(E29,-1,0)+MAX(1,COUNTIF(QCI!$A$13:$A$24,OFFSET(ORÇAMENTO!E29,-1,0))),OFFSET(E29,-1,0))</f>
        <v>1</v>
      </c>
      <c r="F29">
        <f t="shared" ca="1" si="5"/>
        <v>4</v>
      </c>
      <c r="G29">
        <f t="shared" ca="1" si="6"/>
        <v>0</v>
      </c>
      <c r="H29">
        <f t="shared" ca="1" si="7"/>
        <v>0</v>
      </c>
      <c r="I29">
        <f t="shared" ca="1" si="8"/>
        <v>0</v>
      </c>
      <c r="J29">
        <f t="shared" ca="1" si="9"/>
        <v>0</v>
      </c>
      <c r="K29">
        <f ca="1">IF(OR($C29="S",$C29=0),0,MATCH(OFFSET($D29,0,$C29)+IF($C29&lt;&gt;1,1,COUNTIF(QCI!$A$13:$A$24,ORÇAMENTO!E29)),OFFSET($D29,1,$C29,ROW($C$43)-ROW($C29)),0))</f>
        <v>0</v>
      </c>
      <c r="L29" s="139" t="str">
        <f t="shared" ca="1" si="10"/>
        <v/>
      </c>
      <c r="M29" s="140" t="s">
        <v>199</v>
      </c>
      <c r="N29" s="141" t="str">
        <f t="shared" ca="1" si="11"/>
        <v>Serviço</v>
      </c>
      <c r="O29" s="142" t="str">
        <f t="shared" ca="1" si="12"/>
        <v>-</v>
      </c>
      <c r="P29" s="362" t="s">
        <v>464</v>
      </c>
      <c r="Q29" s="668" t="s">
        <v>485</v>
      </c>
      <c r="R29" s="145" t="str">
        <f ca="1">IF($C29="S",REFERENCIA.Descricao,"(digite a descrição aqui)")</f>
        <v>(abra o arquivo 'Referência 07-2024.xlsm)</v>
      </c>
      <c r="S29" s="146" t="str">
        <f ca="1">REFERENCIA.Unidade</f>
        <v>-</v>
      </c>
      <c r="T29" s="147">
        <f ca="1">OFFSET(CÁLCULO!H$15,ROW($T29)-ROW(T$15),0)</f>
        <v>4316.5600000000004</v>
      </c>
      <c r="U29" s="148">
        <f ca="1">AG29</f>
        <v>0</v>
      </c>
      <c r="V29" s="149" t="s">
        <v>156</v>
      </c>
      <c r="W29" s="147">
        <f ca="1">IF($C29="S",ROUND(IF(TIPOORCAMENTO="Proposto",ORÇAMENTO.CustoUnitario*(1+$AH29),ORÇAMENTO.PrecoUnitarioLicitado),15-13*$AF$10),0)</f>
        <v>0</v>
      </c>
      <c r="X29" s="150">
        <f ca="1">IF($C29="S",IF(Import.TipoArredondamento&lt;&gt;"TransfereGOV",VTOTAL1,SUM(OFFSET(CÁLCULO!$AA$15,ROW($X29)-ROW($X$15),1):OFFSET(CÁLCULO!$AL$15,ROW($X29)-ROW($X$15),-1))),IF($C29=0,0,ROUND(SomaAgrup,15-13*$AF$11)))</f>
        <v>0</v>
      </c>
      <c r="Y29" s="151" t="s">
        <v>245</v>
      </c>
      <c r="Z29" t="str">
        <f t="shared" ca="1" si="13"/>
        <v/>
      </c>
      <c r="AA29" s="152">
        <f ca="1">IF($C29="S",IF($Z29="CP",$X29,IF($Z29="RA",(($X29)*QCI!$AA$3),0)),SomaAgrup)</f>
        <v>0</v>
      </c>
      <c r="AB29" s="153">
        <f t="shared" ca="1" si="14"/>
        <v>0</v>
      </c>
      <c r="AC29" s="154" t="str">
        <f ca="1">IF($N29="","",IF(ORÇAMENTO.Descricao="","DESCRIÇÃO",IF(AND($C29="S",ORÇAMENTO.Unidade=""),"UNIDADE",IF($X29&lt;0,"VALOR NEGATIVO",IF(OR(AND(TIPOORCAMENTO="Proposto",$AG29&lt;&gt;"",$AG29&gt;0,ORÇAMENTO.CustoUnitario&gt;$AG29),AND(TIPOORCAMENTO="LICITADO",ORÇAMENTO.PrecoUnitarioLicitado&gt;$AN29)),"ACIMA REF.","")))))</f>
        <v/>
      </c>
      <c r="AD29" s="100" t="str">
        <f ca="1">IF(C29&lt;=CRONO.NivelExibicao,MAX($AD$15:OFFSET(AD29,-1,0))+IF($C29&lt;&gt;1,1,MAX(1,COUNTIF(QCI!$A$13:$A$24,OFFSET($E29,-1,0)))),"")</f>
        <v/>
      </c>
      <c r="AE29" s="110" t="str">
        <f ca="1">IF(AND($C29="S",ORÇAMENTO.CodBarra&lt;&gt;""),IF(ORÇAMENTO.Fonte="",ORÇAMENTO.CodBarra,CONCATENATE(ORÇAMENTO.Fonte," ",ORÇAMENTO.CodBarra)))</f>
        <v>Composição CO-05</v>
      </c>
      <c r="AF29" s="155" t="str">
        <f ca="1">IF(ISERROR(INDIRECT(ORÇAMENTO.BancoRef)),"(abra o arquivo 'Referência "&amp;Excel_BuiltIn_Database&amp;".xlsm)",IF(OR($C29&lt;&gt;"S",ORÇAMENTO.CodBarra=""),"(Sem Código)",IF(ISERROR(MATCH($AE29,INDIRECT(ORÇAMENTO.BancoRef),0)),"(Código não identificado nas referências)",MATCH($AE29,INDIRECT(ORÇAMENTO.BancoRef),0))))</f>
        <v>(abra o arquivo 'Referência 07-2024.xlsm)</v>
      </c>
      <c r="AG29" s="574">
        <f ca="1">ROUND(IF(DESONERACAO="sim",REFERENCIA.Desonerado,REFERENCIA.NaoDesonerado),2)</f>
        <v>0</v>
      </c>
      <c r="AH29" s="575">
        <f t="shared" ca="1" si="15"/>
        <v>0.25679999999999997</v>
      </c>
      <c r="AJ29" s="577">
        <v>4316.5600000000004</v>
      </c>
      <c r="AL29" s="607"/>
      <c r="AM29" s="426">
        <f t="shared" ca="1" si="0"/>
        <v>0</v>
      </c>
      <c r="AN29" s="650">
        <f t="shared" ca="1" si="16"/>
        <v>0</v>
      </c>
    </row>
    <row r="30" spans="1:40" ht="51">
      <c r="A30" t="str">
        <f>CHOOSE(1+LOG(1+2*(ORÇAMENTO.Nivel="Meta")+4*(ORÇAMENTO.Nivel="Nível 2")+8*(ORÇAMENTO.Nivel="Nível 3")+16*(ORÇAMENTO.Nivel="Nível 4")+32*(ORÇAMENTO.Nivel="Serviço"),2),0,1,2,3,4,"S")</f>
        <v>S</v>
      </c>
      <c r="B30">
        <f ca="1">IF(OR(C30="s",C30=0),OFFSET(B30,-1,0),C30)</f>
        <v>2</v>
      </c>
      <c r="C30" t="str">
        <f ca="1">IF(OFFSET(C30,-1,0)="L",1,IF(OFFSET(C30,-1,0)=1,2,IF(OR(A30="s",A30=0),"S",IF(AND(OFFSET(C30,-1,0)=2,A30=4),3,IF(AND(OR(OFFSET(C30,-1,0)="s",OFFSET(C30,-1,0)=0),A30&lt;&gt;"s",A30&gt;OFFSET(B30,-1,0)),OFFSET(B30,-1,0),A30)))))</f>
        <v>S</v>
      </c>
      <c r="D30">
        <f ca="1">IF(OR(C30="S",C30=0),0,IF(ISERROR(K30),J30,SMALL(J30:K30,1)))</f>
        <v>0</v>
      </c>
      <c r="E30">
        <f ca="1">IF($C30=1,OFFSET(E30,-1,0)+MAX(1,COUNTIF(QCI!$A$13:$A$24,OFFSET(ORÇAMENTO!E30,-1,0))),OFFSET(E30,-1,0))</f>
        <v>1</v>
      </c>
      <c r="F30">
        <f ca="1">IF($C30=1,0,IF($C30=2,OFFSET(F30,-1,0)+1,OFFSET(F30,-1,0)))</f>
        <v>4</v>
      </c>
      <c r="G30">
        <f ca="1">IF(AND($C30&lt;=2,$C30&lt;&gt;0),0,IF($C30=3,OFFSET(G30,-1,0)+1,OFFSET(G30,-1,0)))</f>
        <v>0</v>
      </c>
      <c r="H30">
        <f ca="1">IF(AND($C30&lt;=3,$C30&lt;&gt;0),0,IF($C30=4,OFFSET(H30,-1,0)+1,OFFSET(H30,-1,0)))</f>
        <v>0</v>
      </c>
      <c r="I30">
        <f ca="1">IF(AND($C30&lt;=4,$C30&lt;&gt;0),0,IF(AND($C30="S",$X30&gt;0),OFFSET(I30,-1,0)+1,OFFSET(I30,-1,0)))</f>
        <v>0</v>
      </c>
      <c r="J30">
        <f t="shared" ca="1" si="9"/>
        <v>0</v>
      </c>
      <c r="K30">
        <f ca="1">IF(OR($C30="S",$C30=0),0,MATCH(OFFSET($D30,0,$C30)+IF($C30&lt;&gt;1,1,COUNTIF(QCI!$A$13:$A$24,ORÇAMENTO!E30)),OFFSET($D30,1,$C30,ROW($C$43)-ROW($C30)),0))</f>
        <v>0</v>
      </c>
      <c r="L30" s="139" t="str">
        <f ca="1">IF(OR($X30&gt;0,$C30=1,$C30=2,$C30=3,$C30=4),"F","")</f>
        <v/>
      </c>
      <c r="M30" s="140" t="s">
        <v>199</v>
      </c>
      <c r="N30" s="141" t="str">
        <f ca="1">CHOOSE(1+LOG(1+2*(C30=1)+4*(C30=2)+8*(C30=3)+16*(C30=4)+32*(C30="S"),2),"","Meta","Nível 2","Nível 3","Nível 4","Serviço")</f>
        <v>Serviço</v>
      </c>
      <c r="O30" s="142" t="str">
        <f ca="1">IF(OR($C30=0,$L30=""),"-",CONCATENATE(E30&amp;".",IF(AND($A$5&gt;=2,$C30&gt;=2),F30&amp;".",""),IF(AND($A$5&gt;=3,$C30&gt;=3),G30&amp;".",""),IF(AND($A$5&gt;=4,$C30&gt;=4),H30&amp;".",""),IF($C30="S",I30&amp;".","")))</f>
        <v>-</v>
      </c>
      <c r="P30" s="143" t="s">
        <v>247</v>
      </c>
      <c r="Q30" s="668" t="s">
        <v>468</v>
      </c>
      <c r="R30" s="145" t="str">
        <f ca="1">IF($C30="S",REFERENCIA.Descricao,"(digite a descrição aqui)")</f>
        <v>(abra o arquivo 'Referência 07-2024.xlsm)</v>
      </c>
      <c r="S30" s="146" t="str">
        <f ca="1">REFERENCIA.Unidade</f>
        <v>-</v>
      </c>
      <c r="T30" s="147">
        <f ca="1">OFFSET(CÁLCULO!H$15,ROW($T30)-ROW(T$15),0)</f>
        <v>429.49</v>
      </c>
      <c r="U30" s="148">
        <f t="shared" ref="U30:U42" ca="1" si="44">AG30</f>
        <v>0</v>
      </c>
      <c r="V30" s="149" t="s">
        <v>156</v>
      </c>
      <c r="W30" s="147">
        <f ca="1">IF($C30="S",ROUND(IF(TIPOORCAMENTO="Proposto",ORÇAMENTO.CustoUnitario*(1+$AH30),ORÇAMENTO.PrecoUnitarioLicitado),15-13*$AF$10),0)</f>
        <v>0</v>
      </c>
      <c r="X30" s="150">
        <f ca="1">IF($C30="S",IF(Import.TipoArredondamento&lt;&gt;"TransfereGOV",VTOTAL1,SUM(OFFSET(CÁLCULO!$AA$15,ROW($X30)-ROW($X$15),1):OFFSET(CÁLCULO!$AL$15,ROW($X30)-ROW($X$15),-1))),IF($C30=0,0,ROUND(SomaAgrup,15-13*$AF$11)))</f>
        <v>0</v>
      </c>
      <c r="Y30" s="151" t="s">
        <v>245</v>
      </c>
      <c r="Z30" t="str">
        <f ca="1">IF(AND($C30="S",$X30&gt;0),IF(ISBLANK($Y30),"RA",LEFT($Y30,2)),"")</f>
        <v/>
      </c>
      <c r="AA30" s="152">
        <f ca="1">IF($C30="S",IF($Z30="CP",$X30,IF($Z30="RA",(($X30)*QCI!$AA$3),0)),SomaAgrup)</f>
        <v>0</v>
      </c>
      <c r="AB30" s="153">
        <f ca="1">IF($C30="S",IF($Z30="OU",ROUND($X30,2),0),SomaAgrup)</f>
        <v>0</v>
      </c>
      <c r="AC30" s="154" t="str">
        <f ca="1">IF($N30="","",IF(ORÇAMENTO.Descricao="","DESCRIÇÃO",IF(AND($C30="S",ORÇAMENTO.Unidade=""),"UNIDADE",IF($X30&lt;0,"VALOR NEGATIVO",IF(OR(AND(TIPOORCAMENTO="Proposto",$AG30&lt;&gt;"",$AG30&gt;0,ORÇAMENTO.CustoUnitario&gt;$AG30),AND(TIPOORCAMENTO="LICITADO",ORÇAMENTO.PrecoUnitarioLicitado&gt;$AN30)),"ACIMA REF.","")))))</f>
        <v/>
      </c>
      <c r="AD30" s="660" t="str">
        <f ca="1">IF(C30&lt;=CRONO.NivelExibicao,MAX($AD$15:OFFSET(AD30,-1,0))+IF($C30&lt;&gt;1,1,MAX(1,COUNTIF(QCI!$A$13:$A$24,OFFSET($E30,-1,0)))),"")</f>
        <v/>
      </c>
      <c r="AE30" s="110" t="str">
        <f ca="1">IF(AND($C30="S",ORÇAMENTO.CodBarra&lt;&gt;""),IF(ORÇAMENTO.Fonte="",ORÇAMENTO.CodBarra,CONCATENATE(ORÇAMENTO.Fonte," ",ORÇAMENTO.CodBarra)))</f>
        <v>SINAPI 102331</v>
      </c>
      <c r="AF30" s="155" t="str">
        <f ca="1">IF(ISERROR(INDIRECT(ORÇAMENTO.BancoRef)),"(abra o arquivo 'Referência "&amp;Excel_BuiltIn_Database&amp;".xlsm)",IF(OR($C30&lt;&gt;"S",ORÇAMENTO.CodBarra=""),"(Sem Código)",IF(ISERROR(MATCH($AE30,INDIRECT(ORÇAMENTO.BancoRef),0)),"(Código não identificado nas referências)",MATCH($AE30,INDIRECT(ORÇAMENTO.BancoRef),0))))</f>
        <v>(abra o arquivo 'Referência 07-2024.xlsm)</v>
      </c>
      <c r="AG30" s="574">
        <f ca="1">ROUND(IF(DESONERACAO="sim",REFERENCIA.Desonerado,REFERENCIA.NaoDesonerado),2)</f>
        <v>0</v>
      </c>
      <c r="AH30" s="575">
        <f ca="1">ROUND(IF(ISNUMBER(ORÇAMENTO.OpcaoBDI),ORÇAMENTO.OpcaoBDI,IF(LEFT(ORÇAMENTO.OpcaoBDI,3)="BDI",HLOOKUP(ORÇAMENTO.OpcaoBDI,$F$4:$H$5,2,FALSE),0)),15-11*$AF$9)</f>
        <v>0.25679999999999997</v>
      </c>
      <c r="AJ30" s="577">
        <v>429.49</v>
      </c>
      <c r="AL30" s="607"/>
      <c r="AM30" s="426">
        <f t="shared" ca="1" si="0"/>
        <v>0</v>
      </c>
      <c r="AN30" s="650">
        <f ca="1">ROUND(ORÇAMENTO.CustoUnitario*(1+$AH30),2)</f>
        <v>0</v>
      </c>
    </row>
    <row r="31" spans="1:40" ht="38.25">
      <c r="A31" t="str">
        <f t="shared" si="1"/>
        <v>S</v>
      </c>
      <c r="B31">
        <f t="shared" ca="1" si="2"/>
        <v>2</v>
      </c>
      <c r="C31" t="str">
        <f t="shared" ca="1" si="3"/>
        <v>S</v>
      </c>
      <c r="D31">
        <f t="shared" ca="1" si="4"/>
        <v>0</v>
      </c>
      <c r="E31">
        <f ca="1">IF($C31=1,OFFSET(E31,-1,0)+MAX(1,COUNTIF(QCI!$A$13:$A$24,OFFSET(ORÇAMENTO!E31,-1,0))),OFFSET(E31,-1,0))</f>
        <v>1</v>
      </c>
      <c r="F31">
        <f t="shared" ca="1" si="5"/>
        <v>4</v>
      </c>
      <c r="G31">
        <f t="shared" ca="1" si="6"/>
        <v>0</v>
      </c>
      <c r="H31">
        <f t="shared" ca="1" si="7"/>
        <v>0</v>
      </c>
      <c r="I31">
        <f t="shared" ca="1" si="8"/>
        <v>0</v>
      </c>
      <c r="J31">
        <f t="shared" ca="1" si="9"/>
        <v>0</v>
      </c>
      <c r="K31">
        <f ca="1">IF(OR($C31="S",$C31=0),0,MATCH(OFFSET($D31,0,$C31)+IF($C31&lt;&gt;1,1,COUNTIF(QCI!$A$13:$A$24,ORÇAMENTO!E31)),OFFSET($D31,1,$C31,ROW($C$43)-ROW($C31)),0))</f>
        <v>0</v>
      </c>
      <c r="L31" s="139" t="str">
        <f t="shared" ca="1" si="10"/>
        <v/>
      </c>
      <c r="M31" s="140" t="s">
        <v>199</v>
      </c>
      <c r="N31" s="141" t="str">
        <f t="shared" ca="1" si="11"/>
        <v>Serviço</v>
      </c>
      <c r="O31" s="142" t="str">
        <f t="shared" ca="1" si="12"/>
        <v>-</v>
      </c>
      <c r="P31" s="143" t="s">
        <v>247</v>
      </c>
      <c r="Q31" s="668" t="s">
        <v>461</v>
      </c>
      <c r="R31" s="145" t="str">
        <f ca="1">IF($C31="S",REFERENCIA.Descricao,"(digite a descrição aqui)")</f>
        <v>(abra o arquivo 'Referência 07-2024.xlsm)</v>
      </c>
      <c r="S31" s="146" t="str">
        <f ca="1">REFERENCIA.Unidade</f>
        <v>-</v>
      </c>
      <c r="T31" s="147">
        <f ca="1">OFFSET(CÁLCULO!H$15,ROW($T31)-ROW(T$15),0)</f>
        <v>86.33</v>
      </c>
      <c r="U31" s="148">
        <f t="shared" ca="1" si="44"/>
        <v>0</v>
      </c>
      <c r="V31" s="149" t="s">
        <v>156</v>
      </c>
      <c r="W31" s="147">
        <f ca="1">IF($C31="S",ROUND(IF(TIPOORCAMENTO="Proposto",ORÇAMENTO.CustoUnitario*(1+$AH31),ORÇAMENTO.PrecoUnitarioLicitado),15-13*$AF$10),0)</f>
        <v>0</v>
      </c>
      <c r="X31" s="150">
        <f ca="1">IF($C31="S",IF(Import.TipoArredondamento&lt;&gt;"TransfereGOV",VTOTAL1,SUM(OFFSET(CÁLCULO!$AA$15,ROW($X31)-ROW($X$15),1):OFFSET(CÁLCULO!$AL$15,ROW($X31)-ROW($X$15),-1))),IF($C31=0,0,ROUND(SomaAgrup,15-13*$AF$11)))</f>
        <v>0</v>
      </c>
      <c r="Y31" s="151" t="s">
        <v>245</v>
      </c>
      <c r="Z31" t="str">
        <f t="shared" ca="1" si="13"/>
        <v/>
      </c>
      <c r="AA31" s="152">
        <f ca="1">IF($C31="S",IF($Z31="CP",$X31,IF($Z31="RA",(($X31)*QCI!$AA$3),0)),SomaAgrup)</f>
        <v>0</v>
      </c>
      <c r="AB31" s="153">
        <f t="shared" ca="1" si="14"/>
        <v>0</v>
      </c>
      <c r="AC31" s="154" t="str">
        <f ca="1">IF($N31="","",IF(ORÇAMENTO.Descricao="","DESCRIÇÃO",IF(AND($C31="S",ORÇAMENTO.Unidade=""),"UNIDADE",IF($X31&lt;0,"VALOR NEGATIVO",IF(OR(AND(TIPOORCAMENTO="Proposto",$AG31&lt;&gt;"",$AG31&gt;0,ORÇAMENTO.CustoUnitario&gt;$AG31),AND(TIPOORCAMENTO="LICITADO",ORÇAMENTO.PrecoUnitarioLicitado&gt;$AN31)),"ACIMA REF.","")))))</f>
        <v/>
      </c>
      <c r="AD31" s="100" t="str">
        <f ca="1">IF(C31&lt;=CRONO.NivelExibicao,MAX($AD$15:OFFSET(AD31,-1,0))+IF($C31&lt;&gt;1,1,MAX(1,COUNTIF(QCI!$A$13:$A$24,OFFSET($E31,-1,0)))),"")</f>
        <v/>
      </c>
      <c r="AE31" s="110" t="str">
        <f ca="1">IF(AND($C31="S",ORÇAMENTO.CodBarra&lt;&gt;""),IF(ORÇAMENTO.Fonte="",ORÇAMENTO.CodBarra,CONCATENATE(ORÇAMENTO.Fonte," ",ORÇAMENTO.CodBarra)))</f>
        <v>SINAPI 95996</v>
      </c>
      <c r="AF31" s="155" t="str">
        <f ca="1">IF(ISERROR(INDIRECT(ORÇAMENTO.BancoRef)),"(abra o arquivo 'Referência "&amp;Excel_BuiltIn_Database&amp;".xlsm)",IF(OR($C31&lt;&gt;"S",ORÇAMENTO.CodBarra=""),"(Sem Código)",IF(ISERROR(MATCH($AE31,INDIRECT(ORÇAMENTO.BancoRef),0)),"(Código não identificado nas referências)",MATCH($AE31,INDIRECT(ORÇAMENTO.BancoRef),0))))</f>
        <v>(abra o arquivo 'Referência 07-2024.xlsm)</v>
      </c>
      <c r="AG31" s="574">
        <f ca="1">ROUND(IF(DESONERACAO="sim",REFERENCIA.Desonerado,REFERENCIA.NaoDesonerado),2)</f>
        <v>0</v>
      </c>
      <c r="AH31" s="575">
        <f t="shared" ca="1" si="15"/>
        <v>0.25679999999999997</v>
      </c>
      <c r="AJ31" s="577">
        <v>86.33</v>
      </c>
      <c r="AL31" s="607"/>
      <c r="AM31" s="426">
        <f t="shared" ca="1" si="0"/>
        <v>0</v>
      </c>
      <c r="AN31" s="650">
        <f t="shared" ca="1" si="16"/>
        <v>0</v>
      </c>
    </row>
    <row r="32" spans="1:40" ht="38.25">
      <c r="A32" t="str">
        <f t="shared" si="1"/>
        <v>S</v>
      </c>
      <c r="B32">
        <f t="shared" ca="1" si="2"/>
        <v>2</v>
      </c>
      <c r="C32" t="str">
        <f t="shared" ca="1" si="3"/>
        <v>S</v>
      </c>
      <c r="D32">
        <f t="shared" ca="1" si="4"/>
        <v>0</v>
      </c>
      <c r="E32">
        <f ca="1">IF($C32=1,OFFSET(E32,-1,0)+MAX(1,COUNTIF(QCI!$A$13:$A$24,OFFSET(ORÇAMENTO!E32,-1,0))),OFFSET(E32,-1,0))</f>
        <v>1</v>
      </c>
      <c r="F32">
        <f t="shared" ca="1" si="5"/>
        <v>4</v>
      </c>
      <c r="G32">
        <f t="shared" ca="1" si="6"/>
        <v>0</v>
      </c>
      <c r="H32">
        <f t="shared" ca="1" si="7"/>
        <v>0</v>
      </c>
      <c r="I32">
        <f t="shared" ca="1" si="8"/>
        <v>0</v>
      </c>
      <c r="J32">
        <f t="shared" ca="1" si="9"/>
        <v>0</v>
      </c>
      <c r="K32">
        <f ca="1">IF(OR($C32="S",$C32=0),0,MATCH(OFFSET($D32,0,$C32)+IF($C32&lt;&gt;1,1,COUNTIF(QCI!$A$13:$A$24,ORÇAMENTO!E32)),OFFSET($D32,1,$C32,ROW($C$43)-ROW($C32)),0))</f>
        <v>0</v>
      </c>
      <c r="L32" s="139" t="str">
        <f t="shared" ca="1" si="10"/>
        <v/>
      </c>
      <c r="M32" s="140" t="s">
        <v>199</v>
      </c>
      <c r="N32" s="141" t="str">
        <f t="shared" ca="1" si="11"/>
        <v>Serviço</v>
      </c>
      <c r="O32" s="142" t="str">
        <f t="shared" ca="1" si="12"/>
        <v>-</v>
      </c>
      <c r="P32" s="143" t="s">
        <v>247</v>
      </c>
      <c r="Q32" s="668" t="s">
        <v>463</v>
      </c>
      <c r="R32" s="145" t="str">
        <f ca="1">IF($C32="S",REFERENCIA.Descricao,"(digite a descrição aqui)")</f>
        <v>(abra o arquivo 'Referência 07-2024.xlsm)</v>
      </c>
      <c r="S32" s="146" t="str">
        <f ca="1">REFERENCIA.Unidade</f>
        <v>-</v>
      </c>
      <c r="T32" s="147">
        <f ca="1">OFFSET(CÁLCULO!H$15,ROW($T32)-ROW(T$15),0)</f>
        <v>3021.55</v>
      </c>
      <c r="U32" s="148">
        <f t="shared" ca="1" si="44"/>
        <v>0</v>
      </c>
      <c r="V32" s="149" t="s">
        <v>156</v>
      </c>
      <c r="W32" s="147">
        <f ca="1">IF($C32="S",ROUND(IF(TIPOORCAMENTO="Proposto",ORÇAMENTO.CustoUnitario*(1+$AH32),ORÇAMENTO.PrecoUnitarioLicitado),15-13*$AF$10),0)</f>
        <v>0</v>
      </c>
      <c r="X32" s="150">
        <f ca="1">IF($C32="S",IF(Import.TipoArredondamento&lt;&gt;"TransfereGOV",VTOTAL1,SUM(OFFSET(CÁLCULO!$AA$15,ROW($X32)-ROW($X$15),1):OFFSET(CÁLCULO!$AL$15,ROW($X32)-ROW($X$15),-1))),IF($C32=0,0,ROUND(SomaAgrup,15-13*$AF$11)))</f>
        <v>0</v>
      </c>
      <c r="Y32" s="151" t="s">
        <v>245</v>
      </c>
      <c r="Z32" t="str">
        <f t="shared" ca="1" si="13"/>
        <v/>
      </c>
      <c r="AA32" s="152">
        <f ca="1">IF($C32="S",IF($Z32="CP",$X32,IF($Z32="RA",(($X32)*QCI!$AA$3),0)),SomaAgrup)</f>
        <v>0</v>
      </c>
      <c r="AB32" s="153">
        <f t="shared" ca="1" si="14"/>
        <v>0</v>
      </c>
      <c r="AC32" s="154" t="str">
        <f ca="1">IF($N32="","",IF(ORÇAMENTO.Descricao="","DESCRIÇÃO",IF(AND($C32="S",ORÇAMENTO.Unidade=""),"UNIDADE",IF($X32&lt;0,"VALOR NEGATIVO",IF(OR(AND(TIPOORCAMENTO="Proposto",$AG32&lt;&gt;"",$AG32&gt;0,ORÇAMENTO.CustoUnitario&gt;$AG32),AND(TIPOORCAMENTO="LICITADO",ORÇAMENTO.PrecoUnitarioLicitado&gt;$AN32)),"ACIMA REF.","")))))</f>
        <v/>
      </c>
      <c r="AD32" s="100" t="str">
        <f ca="1">IF(C32&lt;=CRONO.NivelExibicao,MAX($AD$15:OFFSET(AD32,-1,0))+IF($C32&lt;&gt;1,1,MAX(1,COUNTIF(QCI!$A$13:$A$24,OFFSET($E32,-1,0)))),"")</f>
        <v/>
      </c>
      <c r="AE32" s="110" t="str">
        <f ca="1">IF(AND($C32="S",ORÇAMENTO.CodBarra&lt;&gt;""),IF(ORÇAMENTO.Fonte="",ORÇAMENTO.CodBarra,CONCATENATE(ORÇAMENTO.Fonte," ",ORÇAMENTO.CodBarra)))</f>
        <v>SINAPI 95426</v>
      </c>
      <c r="AF32" s="155" t="str">
        <f ca="1">IF(ISERROR(INDIRECT(ORÇAMENTO.BancoRef)),"(abra o arquivo 'Referência "&amp;Excel_BuiltIn_Database&amp;".xlsm)",IF(OR($C32&lt;&gt;"S",ORÇAMENTO.CodBarra=""),"(Sem Código)",IF(ISERROR(MATCH($AE32,INDIRECT(ORÇAMENTO.BancoRef),0)),"(Código não identificado nas referências)",MATCH($AE32,INDIRECT(ORÇAMENTO.BancoRef),0))))</f>
        <v>(abra o arquivo 'Referência 07-2024.xlsm)</v>
      </c>
      <c r="AG32" s="574">
        <f ca="1">ROUND(IF(DESONERACAO="sim",REFERENCIA.Desonerado,REFERENCIA.NaoDesonerado),2)</f>
        <v>0</v>
      </c>
      <c r="AH32" s="575">
        <f t="shared" ca="1" si="15"/>
        <v>0.25679999999999997</v>
      </c>
      <c r="AJ32" s="577">
        <v>3021.55</v>
      </c>
      <c r="AL32" s="607"/>
      <c r="AM32" s="426">
        <f t="shared" ca="1" si="0"/>
        <v>0</v>
      </c>
      <c r="AN32" s="650">
        <f t="shared" ca="1" si="16"/>
        <v>0</v>
      </c>
    </row>
    <row r="33" spans="1:40" ht="25.5">
      <c r="A33" t="str">
        <f>CHOOSE(1+LOG(1+2*(ORÇAMENTO.Nivel="Meta")+4*(ORÇAMENTO.Nivel="Nível 2")+8*(ORÇAMENTO.Nivel="Nível 3")+16*(ORÇAMENTO.Nivel="Nível 4")+32*(ORÇAMENTO.Nivel="Serviço"),2),0,1,2,3,4,"S")</f>
        <v>S</v>
      </c>
      <c r="B33">
        <f ca="1">IF(OR(C33="s",C33=0),OFFSET(B33,-1,0),C33)</f>
        <v>2</v>
      </c>
      <c r="C33" t="str">
        <f ca="1">IF(OFFSET(C33,-1,0)="L",1,IF(OFFSET(C33,-1,0)=1,2,IF(OR(A33="s",A33=0),"S",IF(AND(OFFSET(C33,-1,0)=2,A33=4),3,IF(AND(OR(OFFSET(C33,-1,0)="s",OFFSET(C33,-1,0)=0),A33&lt;&gt;"s",A33&gt;OFFSET(B33,-1,0)),OFFSET(B33,-1,0),A33)))))</f>
        <v>S</v>
      </c>
      <c r="D33">
        <f ca="1">IF(OR(C33="S",C33=0),0,IF(ISERROR(K33),J33,SMALL(J33:K33,1)))</f>
        <v>0</v>
      </c>
      <c r="E33">
        <f ca="1">IF($C33=1,OFFSET(E33,-1,0)+MAX(1,COUNTIF(QCI!$A$13:$A$24,OFFSET(ORÇAMENTO!E33,-1,0))),OFFSET(E33,-1,0))</f>
        <v>1</v>
      </c>
      <c r="F33">
        <f ca="1">IF($C33=1,0,IF($C33=2,OFFSET(F33,-1,0)+1,OFFSET(F33,-1,0)))</f>
        <v>4</v>
      </c>
      <c r="G33">
        <f ca="1">IF(AND($C33&lt;=2,$C33&lt;&gt;0),0,IF($C33=3,OFFSET(G33,-1,0)+1,OFFSET(G33,-1,0)))</f>
        <v>0</v>
      </c>
      <c r="H33">
        <f ca="1">IF(AND($C33&lt;=3,$C33&lt;&gt;0),0,IF($C33=4,OFFSET(H33,-1,0)+1,OFFSET(H33,-1,0)))</f>
        <v>0</v>
      </c>
      <c r="I33">
        <f ca="1">IF(AND($C33&lt;=4,$C33&lt;&gt;0),0,IF(AND($C33="S",$X33&gt;0),OFFSET(I33,-1,0)+1,OFFSET(I33,-1,0)))</f>
        <v>0</v>
      </c>
      <c r="J33">
        <f t="shared" ca="1" si="9"/>
        <v>0</v>
      </c>
      <c r="K33">
        <f ca="1">IF(OR($C33="S",$C33=0),0,MATCH(OFFSET($D33,0,$C33)+IF($C33&lt;&gt;1,1,COUNTIF(QCI!$A$13:$A$24,ORÇAMENTO!E33)),OFFSET($D33,1,$C33,ROW($C$43)-ROW($C33)),0))</f>
        <v>0</v>
      </c>
      <c r="L33" s="139" t="str">
        <f ca="1">IF(OR($X33&gt;0,$C33=1,$C33=2,$C33=3,$C33=4),"F","")</f>
        <v/>
      </c>
      <c r="M33" s="140" t="s">
        <v>199</v>
      </c>
      <c r="N33" s="141" t="str">
        <f ca="1">CHOOSE(1+LOG(1+2*(C33=1)+4*(C33=2)+8*(C33=3)+16*(C33=4)+32*(C33="S"),2),"","Meta","Nível 2","Nível 3","Nível 4","Serviço")</f>
        <v>Serviço</v>
      </c>
      <c r="O33" s="142" t="str">
        <f ca="1">IF(OR($C33=0,$L33=""),"-",CONCATENATE(E33&amp;".",IF(AND($A$5&gt;=2,$C33&gt;=2),F33&amp;".",""),IF(AND($A$5&gt;=3,$C33&gt;=3),G33&amp;".",""),IF(AND($A$5&gt;=4,$C33&gt;=4),H33&amp;".",""),IF($C33="S",I33&amp;".","")))</f>
        <v>-</v>
      </c>
      <c r="P33" s="362" t="s">
        <v>464</v>
      </c>
      <c r="Q33" s="668" t="s">
        <v>485</v>
      </c>
      <c r="R33" s="145" t="str">
        <f ca="1">IF($C33="S",REFERENCIA.Descricao,"(digite a descrição aqui)")</f>
        <v>(abra o arquivo 'Referência 07-2024.xlsm)</v>
      </c>
      <c r="S33" s="146" t="str">
        <f ca="1">REFERENCIA.Unidade</f>
        <v>-</v>
      </c>
      <c r="T33" s="147">
        <f ca="1">OFFSET(CÁLCULO!H$15,ROW($T33)-ROW(T$15),0)</f>
        <v>4316.5600000000004</v>
      </c>
      <c r="U33" s="148">
        <f t="shared" ca="1" si="44"/>
        <v>0</v>
      </c>
      <c r="V33" s="149" t="s">
        <v>156</v>
      </c>
      <c r="W33" s="147">
        <f ca="1">IF($C33="S",ROUND(IF(TIPOORCAMENTO="Proposto",ORÇAMENTO.CustoUnitario*(1+$AH33),ORÇAMENTO.PrecoUnitarioLicitado),15-13*$AF$10),0)</f>
        <v>0</v>
      </c>
      <c r="X33" s="150">
        <f ca="1">IF($C33="S",IF(Import.TipoArredondamento&lt;&gt;"TransfereGOV",VTOTAL1,SUM(OFFSET(CÁLCULO!$AA$15,ROW($X33)-ROW($X$15),1):OFFSET(CÁLCULO!$AL$15,ROW($X33)-ROW($X$15),-1))),IF($C33=0,0,ROUND(SomaAgrup,15-13*$AF$11)))</f>
        <v>0</v>
      </c>
      <c r="Y33" s="151" t="s">
        <v>245</v>
      </c>
      <c r="Z33" t="str">
        <f ca="1">IF(AND($C33="S",$X33&gt;0),IF(ISBLANK($Y33),"RA",LEFT($Y33,2)),"")</f>
        <v/>
      </c>
      <c r="AA33" s="152">
        <f ca="1">IF($C33="S",IF($Z33="CP",$X33,IF($Z33="RA",(($X33)*QCI!$AA$3),0)),SomaAgrup)</f>
        <v>0</v>
      </c>
      <c r="AB33" s="153">
        <f ca="1">IF($C33="S",IF($Z33="OU",ROUND($X33,2),0),SomaAgrup)</f>
        <v>0</v>
      </c>
      <c r="AC33" s="154" t="str">
        <f ca="1">IF($N33="","",IF(ORÇAMENTO.Descricao="","DESCRIÇÃO",IF(AND($C33="S",ORÇAMENTO.Unidade=""),"UNIDADE",IF($X33&lt;0,"VALOR NEGATIVO",IF(OR(AND(TIPOORCAMENTO="Proposto",$AG33&lt;&gt;"",$AG33&gt;0,ORÇAMENTO.CustoUnitario&gt;$AG33),AND(TIPOORCAMENTO="LICITADO",ORÇAMENTO.PrecoUnitarioLicitado&gt;$AN33)),"ACIMA REF.","")))))</f>
        <v/>
      </c>
      <c r="AD33" s="660" t="str">
        <f ca="1">IF(C33&lt;=CRONO.NivelExibicao,MAX($AD$15:OFFSET(AD33,-1,0))+IF($C33&lt;&gt;1,1,MAX(1,COUNTIF(QCI!$A$13:$A$24,OFFSET($E33,-1,0)))),"")</f>
        <v/>
      </c>
      <c r="AE33" s="110" t="str">
        <f ca="1">IF(AND($C33="S",ORÇAMENTO.CodBarra&lt;&gt;""),IF(ORÇAMENTO.Fonte="",ORÇAMENTO.CodBarra,CONCATENATE(ORÇAMENTO.Fonte," ",ORÇAMENTO.CodBarra)))</f>
        <v>Composição CO-05</v>
      </c>
      <c r="AF33" s="155" t="str">
        <f ca="1">IF(ISERROR(INDIRECT(ORÇAMENTO.BancoRef)),"(abra o arquivo 'Referência "&amp;Excel_BuiltIn_Database&amp;".xlsm)",IF(OR($C33&lt;&gt;"S",ORÇAMENTO.CodBarra=""),"(Sem Código)",IF(ISERROR(MATCH($AE33,INDIRECT(ORÇAMENTO.BancoRef),0)),"(Código não identificado nas referências)",MATCH($AE33,INDIRECT(ORÇAMENTO.BancoRef),0))))</f>
        <v>(abra o arquivo 'Referência 07-2024.xlsm)</v>
      </c>
      <c r="AG33" s="574">
        <f ca="1">ROUND(IF(DESONERACAO="sim",REFERENCIA.Desonerado,REFERENCIA.NaoDesonerado),2)</f>
        <v>0</v>
      </c>
      <c r="AH33" s="575">
        <f ca="1">ROUND(IF(ISNUMBER(ORÇAMENTO.OpcaoBDI),ORÇAMENTO.OpcaoBDI,IF(LEFT(ORÇAMENTO.OpcaoBDI,3)="BDI",HLOOKUP(ORÇAMENTO.OpcaoBDI,$F$4:$H$5,2,FALSE),0)),15-11*$AF$9)</f>
        <v>0.25679999999999997</v>
      </c>
      <c r="AJ33" s="577">
        <v>4316.5600000000004</v>
      </c>
      <c r="AL33" s="607"/>
      <c r="AM33" s="426">
        <f t="shared" ca="1" si="0"/>
        <v>0</v>
      </c>
      <c r="AN33" s="650">
        <f ca="1">ROUND(ORÇAMENTO.CustoUnitario*(1+$AH33),2)</f>
        <v>0</v>
      </c>
    </row>
    <row r="34" spans="1:40" ht="51">
      <c r="A34" t="str">
        <f>CHOOSE(1+LOG(1+2*(ORÇAMENTO.Nivel="Meta")+4*(ORÇAMENTO.Nivel="Nível 2")+8*(ORÇAMENTO.Nivel="Nível 3")+16*(ORÇAMENTO.Nivel="Nível 4")+32*(ORÇAMENTO.Nivel="Serviço"),2),0,1,2,3,4,"S")</f>
        <v>S</v>
      </c>
      <c r="B34">
        <f ca="1">IF(OR(C34="s",C34=0),OFFSET(B34,-1,0),C34)</f>
        <v>2</v>
      </c>
      <c r="C34" t="str">
        <f ca="1">IF(OFFSET(C34,-1,0)="L",1,IF(OFFSET(C34,-1,0)=1,2,IF(OR(A34="s",A34=0),"S",IF(AND(OFFSET(C34,-1,0)=2,A34=4),3,IF(AND(OR(OFFSET(C34,-1,0)="s",OFFSET(C34,-1,0)=0),A34&lt;&gt;"s",A34&gt;OFFSET(B34,-1,0)),OFFSET(B34,-1,0),A34)))))</f>
        <v>S</v>
      </c>
      <c r="D34">
        <f ca="1">IF(OR(C34="S",C34=0),0,IF(ISERROR(K34),J34,SMALL(J34:K34,1)))</f>
        <v>0</v>
      </c>
      <c r="E34">
        <f ca="1">IF($C34=1,OFFSET(E34,-1,0)+MAX(1,COUNTIF(QCI!$A$13:$A$24,OFFSET(ORÇAMENTO!E34,-1,0))),OFFSET(E34,-1,0))</f>
        <v>1</v>
      </c>
      <c r="F34">
        <f ca="1">IF($C34=1,0,IF($C34=2,OFFSET(F34,-1,0)+1,OFFSET(F34,-1,0)))</f>
        <v>4</v>
      </c>
      <c r="G34">
        <f ca="1">IF(AND($C34&lt;=2,$C34&lt;&gt;0),0,IF($C34=3,OFFSET(G34,-1,0)+1,OFFSET(G34,-1,0)))</f>
        <v>0</v>
      </c>
      <c r="H34">
        <f ca="1">IF(AND($C34&lt;=3,$C34&lt;&gt;0),0,IF($C34=4,OFFSET(H34,-1,0)+1,OFFSET(H34,-1,0)))</f>
        <v>0</v>
      </c>
      <c r="I34">
        <f ca="1">IF(AND($C34&lt;=4,$C34&lt;&gt;0),0,IF(AND($C34="S",$X34&gt;0),OFFSET(I34,-1,0)+1,OFFSET(I34,-1,0)))</f>
        <v>0</v>
      </c>
      <c r="J34">
        <f t="shared" ca="1" si="9"/>
        <v>0</v>
      </c>
      <c r="K34">
        <f ca="1">IF(OR($C34="S",$C34=0),0,MATCH(OFFSET($D34,0,$C34)+IF($C34&lt;&gt;1,1,COUNTIF(QCI!$A$13:$A$24,ORÇAMENTO!E34)),OFFSET($D34,1,$C34,ROW($C$43)-ROW($C34)),0))</f>
        <v>0</v>
      </c>
      <c r="L34" s="139" t="str">
        <f ca="1">IF(OR($X34&gt;0,$C34=1,$C34=2,$C34=3,$C34=4),"F","")</f>
        <v/>
      </c>
      <c r="M34" s="140" t="s">
        <v>199</v>
      </c>
      <c r="N34" s="141" t="str">
        <f ca="1">CHOOSE(1+LOG(1+2*(C34=1)+4*(C34=2)+8*(C34=3)+16*(C34=4)+32*(C34="S"),2),"","Meta","Nível 2","Nível 3","Nível 4","Serviço")</f>
        <v>Serviço</v>
      </c>
      <c r="O34" s="142" t="str">
        <f ca="1">IF(OR($C34=0,$L34=""),"-",CONCATENATE(E34&amp;".",IF(AND($A$5&gt;=2,$C34&gt;=2),F34&amp;".",""),IF(AND($A$5&gt;=3,$C34&gt;=3),G34&amp;".",""),IF(AND($A$5&gt;=4,$C34&gt;=4),H34&amp;".",""),IF($C34="S",I34&amp;".","")))</f>
        <v>-</v>
      </c>
      <c r="P34" s="143" t="s">
        <v>247</v>
      </c>
      <c r="Q34" s="668" t="s">
        <v>468</v>
      </c>
      <c r="R34" s="145" t="str">
        <f ca="1">IF($C34="S",REFERENCIA.Descricao,"(digite a descrição aqui)")</f>
        <v>(abra o arquivo 'Referência 07-2024.xlsm)</v>
      </c>
      <c r="S34" s="146" t="str">
        <f ca="1">REFERENCIA.Unidade</f>
        <v>-</v>
      </c>
      <c r="T34" s="147">
        <f ca="1">OFFSET(CÁLCULO!H$15,ROW($T34)-ROW(T$15),0)</f>
        <v>429.49</v>
      </c>
      <c r="U34" s="148">
        <f t="shared" ca="1" si="44"/>
        <v>0</v>
      </c>
      <c r="V34" s="149" t="s">
        <v>156</v>
      </c>
      <c r="W34" s="147">
        <f ca="1">IF($C34="S",ROUND(IF(TIPOORCAMENTO="Proposto",ORÇAMENTO.CustoUnitario*(1+$AH34),ORÇAMENTO.PrecoUnitarioLicitado),15-13*$AF$10),0)</f>
        <v>0</v>
      </c>
      <c r="X34" s="150">
        <f ca="1">IF($C34="S",IF(Import.TipoArredondamento&lt;&gt;"TransfereGOV",VTOTAL1,SUM(OFFSET(CÁLCULO!$AA$15,ROW($X34)-ROW($X$15),1):OFFSET(CÁLCULO!$AL$15,ROW($X34)-ROW($X$15),-1))),IF($C34=0,0,ROUND(SomaAgrup,15-13*$AF$11)))</f>
        <v>0</v>
      </c>
      <c r="Y34" s="151" t="s">
        <v>245</v>
      </c>
      <c r="Z34" t="str">
        <f ca="1">IF(AND($C34="S",$X34&gt;0),IF(ISBLANK($Y34),"RA",LEFT($Y34,2)),"")</f>
        <v/>
      </c>
      <c r="AA34" s="152">
        <f ca="1">IF($C34="S",IF($Z34="CP",$X34,IF($Z34="RA",(($X34)*QCI!$AA$3),0)),SomaAgrup)</f>
        <v>0</v>
      </c>
      <c r="AB34" s="153">
        <f ca="1">IF($C34="S",IF($Z34="OU",ROUND($X34,2),0),SomaAgrup)</f>
        <v>0</v>
      </c>
      <c r="AC34" s="154" t="str">
        <f ca="1">IF($N34="","",IF(ORÇAMENTO.Descricao="","DESCRIÇÃO",IF(AND($C34="S",ORÇAMENTO.Unidade=""),"UNIDADE",IF($X34&lt;0,"VALOR NEGATIVO",IF(OR(AND(TIPOORCAMENTO="Proposto",$AG34&lt;&gt;"",$AG34&gt;0,ORÇAMENTO.CustoUnitario&gt;$AG34),AND(TIPOORCAMENTO="LICITADO",ORÇAMENTO.PrecoUnitarioLicitado&gt;$AN34)),"ACIMA REF.","")))))</f>
        <v/>
      </c>
      <c r="AD34" s="660" t="str">
        <f ca="1">IF(C34&lt;=CRONO.NivelExibicao,MAX($AD$15:OFFSET(AD34,-1,0))+IF($C34&lt;&gt;1,1,MAX(1,COUNTIF(QCI!$A$13:$A$24,OFFSET($E34,-1,0)))),"")</f>
        <v/>
      </c>
      <c r="AE34" s="110" t="str">
        <f ca="1">IF(AND($C34="S",ORÇAMENTO.CodBarra&lt;&gt;""),IF(ORÇAMENTO.Fonte="",ORÇAMENTO.CodBarra,CONCATENATE(ORÇAMENTO.Fonte," ",ORÇAMENTO.CodBarra)))</f>
        <v>SINAPI 102331</v>
      </c>
      <c r="AF34" s="155" t="str">
        <f ca="1">IF(ISERROR(INDIRECT(ORÇAMENTO.BancoRef)),"(abra o arquivo 'Referência "&amp;Excel_BuiltIn_Database&amp;".xlsm)",IF(OR($C34&lt;&gt;"S",ORÇAMENTO.CodBarra=""),"(Sem Código)",IF(ISERROR(MATCH($AE34,INDIRECT(ORÇAMENTO.BancoRef),0)),"(Código não identificado nas referências)",MATCH($AE34,INDIRECT(ORÇAMENTO.BancoRef),0))))</f>
        <v>(abra o arquivo 'Referência 07-2024.xlsm)</v>
      </c>
      <c r="AG34" s="574">
        <f ca="1">ROUND(IF(DESONERACAO="sim",REFERENCIA.Desonerado,REFERENCIA.NaoDesonerado),2)</f>
        <v>0</v>
      </c>
      <c r="AH34" s="575">
        <f ca="1">ROUND(IF(ISNUMBER(ORÇAMENTO.OpcaoBDI),ORÇAMENTO.OpcaoBDI,IF(LEFT(ORÇAMENTO.OpcaoBDI,3)="BDI",HLOOKUP(ORÇAMENTO.OpcaoBDI,$F$4:$H$5,2,FALSE),0)),15-11*$AF$9)</f>
        <v>0.25679999999999997</v>
      </c>
      <c r="AJ34" s="577">
        <v>429.49</v>
      </c>
      <c r="AL34" s="607"/>
      <c r="AM34" s="426">
        <f t="shared" ca="1" si="0"/>
        <v>0</v>
      </c>
      <c r="AN34" s="650">
        <f ca="1">ROUND(ORÇAMENTO.CustoUnitario*(1+$AH34),2)</f>
        <v>0</v>
      </c>
    </row>
    <row r="35" spans="1:40" ht="51">
      <c r="A35" t="str">
        <f t="shared" si="1"/>
        <v>S</v>
      </c>
      <c r="B35">
        <f t="shared" ca="1" si="2"/>
        <v>2</v>
      </c>
      <c r="C35" t="str">
        <f t="shared" ca="1" si="3"/>
        <v>S</v>
      </c>
      <c r="D35">
        <f t="shared" ca="1" si="4"/>
        <v>0</v>
      </c>
      <c r="E35">
        <f ca="1">IF($C35=1,OFFSET(E35,-1,0)+MAX(1,COUNTIF(QCI!$A$13:$A$24,OFFSET(ORÇAMENTO!E35,-1,0))),OFFSET(E35,-1,0))</f>
        <v>1</v>
      </c>
      <c r="F35">
        <f t="shared" ca="1" si="5"/>
        <v>4</v>
      </c>
      <c r="G35">
        <f t="shared" ca="1" si="6"/>
        <v>0</v>
      </c>
      <c r="H35">
        <f t="shared" ca="1" si="7"/>
        <v>0</v>
      </c>
      <c r="I35">
        <f t="shared" ca="1" si="8"/>
        <v>0</v>
      </c>
      <c r="J35">
        <f t="shared" ca="1" si="9"/>
        <v>0</v>
      </c>
      <c r="K35">
        <f ca="1">IF(OR($C35="S",$C35=0),0,MATCH(OFFSET($D35,0,$C35)+IF($C35&lt;&gt;1,1,COUNTIF(QCI!$A$13:$A$24,ORÇAMENTO!E35)),OFFSET($D35,1,$C35,ROW($C$43)-ROW($C35)),0))</f>
        <v>0</v>
      </c>
      <c r="L35" s="139" t="str">
        <f t="shared" ca="1" si="10"/>
        <v/>
      </c>
      <c r="M35" s="140" t="s">
        <v>199</v>
      </c>
      <c r="N35" s="141" t="str">
        <f t="shared" ca="1" si="11"/>
        <v>Serviço</v>
      </c>
      <c r="O35" s="142" t="str">
        <f t="shared" ca="1" si="12"/>
        <v>-</v>
      </c>
      <c r="P35" s="362" t="s">
        <v>459</v>
      </c>
      <c r="Q35" s="668" t="s">
        <v>462</v>
      </c>
      <c r="R35" s="145" t="str">
        <f ca="1">IF($C35="S",REFERENCIA.Descricao,"(digite a descrição aqui)")</f>
        <v>(abra o arquivo 'Referência 07-2024.xlsm)</v>
      </c>
      <c r="S35" s="146" t="str">
        <f ca="1">REFERENCIA.Unidade</f>
        <v>-</v>
      </c>
      <c r="T35" s="147">
        <f ca="1">OFFSET(CÁLCULO!H$15,ROW($T35)-ROW(T$15),0)</f>
        <v>129.5</v>
      </c>
      <c r="U35" s="148">
        <f t="shared" ca="1" si="44"/>
        <v>0</v>
      </c>
      <c r="V35" s="149" t="s">
        <v>156</v>
      </c>
      <c r="W35" s="147">
        <f ca="1">IF($C35="S",ROUND(IF(TIPOORCAMENTO="Proposto",ORÇAMENTO.CustoUnitario*(1+$AH35),ORÇAMENTO.PrecoUnitarioLicitado),15-13*$AF$10),0)</f>
        <v>0</v>
      </c>
      <c r="X35" s="150">
        <f ca="1">IF($C35="S",IF(Import.TipoArredondamento&lt;&gt;"TransfereGOV",VTOTAL1,SUM(OFFSET(CÁLCULO!$AA$15,ROW($X35)-ROW($X$15),1):OFFSET(CÁLCULO!$AL$15,ROW($X35)-ROW($X$15),-1))),IF($C35=0,0,ROUND(SomaAgrup,15-13*$AF$11)))</f>
        <v>0</v>
      </c>
      <c r="Y35" s="151" t="s">
        <v>245</v>
      </c>
      <c r="Z35" t="str">
        <f t="shared" ca="1" si="13"/>
        <v/>
      </c>
      <c r="AA35" s="152">
        <f ca="1">IF($C35="S",IF($Z35="CP",$X35,IF($Z35="RA",(($X35)*QCI!$AA$3),0)),SomaAgrup)</f>
        <v>0</v>
      </c>
      <c r="AB35" s="153">
        <f t="shared" ca="1" si="14"/>
        <v>0</v>
      </c>
      <c r="AC35" s="154" t="str">
        <f ca="1">IF($N35="","",IF(ORÇAMENTO.Descricao="","DESCRIÇÃO",IF(AND($C35="S",ORÇAMENTO.Unidade=""),"UNIDADE",IF($X35&lt;0,"VALOR NEGATIVO",IF(OR(AND(TIPOORCAMENTO="Proposto",$AG35&lt;&gt;"",$AG35&gt;0,ORÇAMENTO.CustoUnitario&gt;$AG35),AND(TIPOORCAMENTO="LICITADO",ORÇAMENTO.PrecoUnitarioLicitado&gt;$AN35)),"ACIMA REF.","")))))</f>
        <v/>
      </c>
      <c r="AD35" s="100" t="str">
        <f ca="1">IF(C35&lt;=CRONO.NivelExibicao,MAX($AD$15:OFFSET(AD35,-1,0))+IF($C35&lt;&gt;1,1,MAX(1,COUNTIF(QCI!$A$13:$A$24,OFFSET($E35,-1,0)))),"")</f>
        <v/>
      </c>
      <c r="AE35" s="110" t="str">
        <f ca="1">IF(AND($C35="S",ORÇAMENTO.CodBarra&lt;&gt;""),IF(ORÇAMENTO.Fonte="",ORÇAMENTO.CodBarra,CONCATENATE(ORÇAMENTO.Fonte," ",ORÇAMENTO.CodBarra)))</f>
        <v>SETOP ED-7623</v>
      </c>
      <c r="AF35" s="155" t="str">
        <f ca="1">IF(ISERROR(INDIRECT(ORÇAMENTO.BancoRef)),"(abra o arquivo 'Referência "&amp;Excel_BuiltIn_Database&amp;".xlsm)",IF(OR($C35&lt;&gt;"S",ORÇAMENTO.CodBarra=""),"(Sem Código)",IF(ISERROR(MATCH($AE35,INDIRECT(ORÇAMENTO.BancoRef),0)),"(Código não identificado nas referências)",MATCH($AE35,INDIRECT(ORÇAMENTO.BancoRef),0))))</f>
        <v>(abra o arquivo 'Referência 07-2024.xlsm)</v>
      </c>
      <c r="AG35" s="574">
        <f ca="1">ROUND(IF(DESONERACAO="sim",REFERENCIA.Desonerado,REFERENCIA.NaoDesonerado),2)</f>
        <v>0</v>
      </c>
      <c r="AH35" s="575">
        <f t="shared" ca="1" si="15"/>
        <v>0.25679999999999997</v>
      </c>
      <c r="AJ35" s="577">
        <v>129.5</v>
      </c>
      <c r="AL35" s="607"/>
      <c r="AM35" s="426">
        <f t="shared" ca="1" si="0"/>
        <v>0</v>
      </c>
      <c r="AN35" s="650">
        <f t="shared" ca="1" si="16"/>
        <v>0</v>
      </c>
    </row>
    <row r="36" spans="1:40" ht="38.25">
      <c r="A36" t="str">
        <f t="shared" si="1"/>
        <v>S</v>
      </c>
      <c r="B36">
        <f t="shared" ca="1" si="2"/>
        <v>2</v>
      </c>
      <c r="C36" t="str">
        <f t="shared" ca="1" si="3"/>
        <v>S</v>
      </c>
      <c r="D36">
        <f t="shared" ca="1" si="4"/>
        <v>0</v>
      </c>
      <c r="E36">
        <f ca="1">IF($C36=1,OFFSET(E36,-1,0)+MAX(1,COUNTIF(QCI!$A$13:$A$24,OFFSET(ORÇAMENTO!E36,-1,0))),OFFSET(E36,-1,0))</f>
        <v>1</v>
      </c>
      <c r="F36">
        <f t="shared" ca="1" si="5"/>
        <v>4</v>
      </c>
      <c r="G36">
        <f t="shared" ca="1" si="6"/>
        <v>0</v>
      </c>
      <c r="H36">
        <f t="shared" ca="1" si="7"/>
        <v>0</v>
      </c>
      <c r="I36">
        <f t="shared" ca="1" si="8"/>
        <v>0</v>
      </c>
      <c r="J36">
        <f t="shared" ca="1" si="9"/>
        <v>0</v>
      </c>
      <c r="K36">
        <f ca="1">IF(OR($C36="S",$C36=0),0,MATCH(OFFSET($D36,0,$C36)+IF($C36&lt;&gt;1,1,COUNTIF(QCI!$A$13:$A$24,ORÇAMENTO!E36)),OFFSET($D36,1,$C36,ROW($C$43)-ROW($C36)),0))</f>
        <v>0</v>
      </c>
      <c r="L36" s="139" t="str">
        <f t="shared" ca="1" si="10"/>
        <v/>
      </c>
      <c r="M36" s="140" t="s">
        <v>199</v>
      </c>
      <c r="N36" s="141" t="str">
        <f t="shared" ca="1" si="11"/>
        <v>Serviço</v>
      </c>
      <c r="O36" s="142" t="str">
        <f t="shared" ca="1" si="12"/>
        <v>-</v>
      </c>
      <c r="P36" s="143" t="s">
        <v>247</v>
      </c>
      <c r="Q36" s="668" t="s">
        <v>463</v>
      </c>
      <c r="R36" s="145" t="str">
        <f ca="1">IF($C36="S",REFERENCIA.Descricao,"(digite a descrição aqui)")</f>
        <v>(abra o arquivo 'Referência 07-2024.xlsm)</v>
      </c>
      <c r="S36" s="146" t="str">
        <f ca="1">REFERENCIA.Unidade</f>
        <v>-</v>
      </c>
      <c r="T36" s="147">
        <f ca="1">OFFSET(CÁLCULO!H$15,ROW($T36)-ROW(T$15),0)</f>
        <v>4532.5</v>
      </c>
      <c r="U36" s="148">
        <f t="shared" ca="1" si="44"/>
        <v>0</v>
      </c>
      <c r="V36" s="149" t="s">
        <v>156</v>
      </c>
      <c r="W36" s="147">
        <f ca="1">IF($C36="S",ROUND(IF(TIPOORCAMENTO="Proposto",ORÇAMENTO.CustoUnitario*(1+$AH36),ORÇAMENTO.PrecoUnitarioLicitado),15-13*$AF$10),0)</f>
        <v>0</v>
      </c>
      <c r="X36" s="150">
        <f ca="1">IF($C36="S",IF(Import.TipoArredondamento&lt;&gt;"TransfereGOV",VTOTAL1,SUM(OFFSET(CÁLCULO!$AA$15,ROW($X36)-ROW($X$15),1):OFFSET(CÁLCULO!$AL$15,ROW($X36)-ROW($X$15),-1))),IF($C36=0,0,ROUND(SomaAgrup,15-13*$AF$11)))</f>
        <v>0</v>
      </c>
      <c r="Y36" s="151" t="s">
        <v>245</v>
      </c>
      <c r="Z36" t="str">
        <f t="shared" ca="1" si="13"/>
        <v/>
      </c>
      <c r="AA36" s="152">
        <f ca="1">IF($C36="S",IF($Z36="CP",$X36,IF($Z36="RA",(($X36)*QCI!$AA$3),0)),SomaAgrup)</f>
        <v>0</v>
      </c>
      <c r="AB36" s="153">
        <f t="shared" ca="1" si="14"/>
        <v>0</v>
      </c>
      <c r="AC36" s="154" t="str">
        <f ca="1">IF($N36="","",IF(ORÇAMENTO.Descricao="","DESCRIÇÃO",IF(AND($C36="S",ORÇAMENTO.Unidade=""),"UNIDADE",IF($X36&lt;0,"VALOR NEGATIVO",IF(OR(AND(TIPOORCAMENTO="Proposto",$AG36&lt;&gt;"",$AG36&gt;0,ORÇAMENTO.CustoUnitario&gt;$AG36),AND(TIPOORCAMENTO="LICITADO",ORÇAMENTO.PrecoUnitarioLicitado&gt;$AN36)),"ACIMA REF.","")))))</f>
        <v/>
      </c>
      <c r="AD36" s="100" t="str">
        <f ca="1">IF(C36&lt;=CRONO.NivelExibicao,MAX($AD$15:OFFSET(AD36,-1,0))+IF($C36&lt;&gt;1,1,MAX(1,COUNTIF(QCI!$A$13:$A$24,OFFSET($E36,-1,0)))),"")</f>
        <v/>
      </c>
      <c r="AE36" s="110" t="str">
        <f ca="1">IF(AND($C36="S",ORÇAMENTO.CodBarra&lt;&gt;""),IF(ORÇAMENTO.Fonte="",ORÇAMENTO.CodBarra,CONCATENATE(ORÇAMENTO.Fonte," ",ORÇAMENTO.CodBarra)))</f>
        <v>SINAPI 95426</v>
      </c>
      <c r="AF36" s="155" t="str">
        <f ca="1">IF(ISERROR(INDIRECT(ORÇAMENTO.BancoRef)),"(abra o arquivo 'Referência "&amp;Excel_BuiltIn_Database&amp;".xlsm)",IF(OR($C36&lt;&gt;"S",ORÇAMENTO.CodBarra=""),"(Sem Código)",IF(ISERROR(MATCH($AE36,INDIRECT(ORÇAMENTO.BancoRef),0)),"(Código não identificado nas referências)",MATCH($AE36,INDIRECT(ORÇAMENTO.BancoRef),0))))</f>
        <v>(abra o arquivo 'Referência 07-2024.xlsm)</v>
      </c>
      <c r="AG36" s="574">
        <f ca="1">ROUND(IF(DESONERACAO="sim",REFERENCIA.Desonerado,REFERENCIA.NaoDesonerado),2)</f>
        <v>0</v>
      </c>
      <c r="AH36" s="575">
        <f t="shared" ca="1" si="15"/>
        <v>0.25679999999999997</v>
      </c>
      <c r="AJ36" s="577">
        <v>4532.5</v>
      </c>
      <c r="AL36" s="607"/>
      <c r="AM36" s="426">
        <f t="shared" ca="1" si="0"/>
        <v>0</v>
      </c>
      <c r="AN36" s="650">
        <f t="shared" ca="1" si="16"/>
        <v>0</v>
      </c>
    </row>
    <row r="37" spans="1:40">
      <c r="A37">
        <f t="shared" si="1"/>
        <v>2</v>
      </c>
      <c r="B37">
        <f t="shared" ca="1" si="2"/>
        <v>2</v>
      </c>
      <c r="C37">
        <f t="shared" ca="1" si="3"/>
        <v>2</v>
      </c>
      <c r="D37">
        <f t="shared" ca="1" si="4"/>
        <v>4</v>
      </c>
      <c r="E37">
        <f ca="1">IF($C37=1,OFFSET(E37,-1,0)+MAX(1,COUNTIF(QCI!$A$13:$A$24,OFFSET(ORÇAMENTO!E37,-1,0))),OFFSET(E37,-1,0))</f>
        <v>1</v>
      </c>
      <c r="F37">
        <f t="shared" ca="1" si="5"/>
        <v>5</v>
      </c>
      <c r="G37">
        <f t="shared" ca="1" si="6"/>
        <v>0</v>
      </c>
      <c r="H37">
        <f t="shared" ca="1" si="7"/>
        <v>0</v>
      </c>
      <c r="I37">
        <f t="shared" ca="1" si="8"/>
        <v>0</v>
      </c>
      <c r="J37">
        <f t="shared" ca="1" si="9"/>
        <v>6</v>
      </c>
      <c r="K37">
        <f ca="1">IF(OR($C37="S",$C37=0),0,MATCH(OFFSET($D37,0,$C37)+IF($C37&lt;&gt;1,1,COUNTIF(QCI!$A$13:$A$24,ORÇAMENTO!E37)),OFFSET($D37,1,$C37,ROW($C$43)-ROW($C37)),0))</f>
        <v>4</v>
      </c>
      <c r="L37" s="139" t="str">
        <f t="shared" ca="1" si="10"/>
        <v>F</v>
      </c>
      <c r="M37" s="140" t="s">
        <v>196</v>
      </c>
      <c r="N37" s="141" t="str">
        <f t="shared" ca="1" si="11"/>
        <v>Nível 2</v>
      </c>
      <c r="O37" s="142" t="str">
        <f t="shared" ca="1" si="12"/>
        <v>1.5.</v>
      </c>
      <c r="P37" s="143" t="s">
        <v>247</v>
      </c>
      <c r="Q37" s="144"/>
      <c r="R37" s="145" t="str">
        <f ca="1">IF($C37="S",REFERENCIA.Descricao,"SINALIZAÇÃO VERTICAL")</f>
        <v>SINALIZAÇÃO VERTICAL</v>
      </c>
      <c r="S37" s="146" t="str">
        <f ca="1">REFERENCIA.Unidade</f>
        <v>-</v>
      </c>
      <c r="T37" s="147">
        <f ca="1">OFFSET(CÁLCULO!H$15,ROW($T37)-ROW(T$15),0)</f>
        <v>0</v>
      </c>
      <c r="U37" s="148"/>
      <c r="V37" s="149" t="s">
        <v>156</v>
      </c>
      <c r="W37" s="147">
        <f ca="1">IF($C37="S",ROUND(IF(TIPOORCAMENTO="Proposto",ORÇAMENTO.CustoUnitario*(1+$AH37),ORÇAMENTO.PrecoUnitarioLicitado),15-13*$AF$10),0)</f>
        <v>0</v>
      </c>
      <c r="X37" s="150">
        <f ca="1">IF($C37="S",IF(Import.TipoArredondamento&lt;&gt;"TransfereGOV",VTOTAL1,SUM(OFFSET(CÁLCULO!$AA$15,ROW($X37)-ROW($X$15),1):OFFSET(CÁLCULO!$AL$15,ROW($X37)-ROW($X$15),-1))),IF($C37=0,0,ROUND(SomaAgrup,15-13*$AF$11)))</f>
        <v>0</v>
      </c>
      <c r="Y37" s="151" t="s">
        <v>245</v>
      </c>
      <c r="Z37" t="str">
        <f t="shared" ca="1" si="13"/>
        <v/>
      </c>
      <c r="AA37" s="152">
        <f ca="1">IF($C37="S",IF($Z37="CP",$X37,IF($Z37="RA",(($X37)*QCI!$AA$3),0)),SomaAgrup)</f>
        <v>0</v>
      </c>
      <c r="AB37" s="153">
        <f t="shared" ca="1" si="14"/>
        <v>0</v>
      </c>
      <c r="AC37" s="154" t="str">
        <f ca="1">IF($N37="","",IF(ORÇAMENTO.Descricao="","DESCRIÇÃO",IF(AND($C37="S",ORÇAMENTO.Unidade=""),"UNIDADE",IF($X37&lt;0,"VALOR NEGATIVO",IF(OR(AND(TIPOORCAMENTO="Proposto",$AG37&lt;&gt;"",$AG37&gt;0,ORÇAMENTO.CustoUnitario&gt;$AG37),AND(TIPOORCAMENTO="LICITADO",ORÇAMENTO.PrecoUnitarioLicitado&gt;$AN37)),"ACIMA REF.","")))))</f>
        <v/>
      </c>
      <c r="AD37" s="100" t="str">
        <f ca="1">IF(C37&lt;=CRONO.NivelExibicao,MAX($AD$15:OFFSET(AD37,-1,0))+IF($C37&lt;&gt;1,1,MAX(1,COUNTIF(QCI!$A$13:$A$24,OFFSET($E37,-1,0)))),"")</f>
        <v/>
      </c>
      <c r="AE37" s="110" t="b">
        <f ca="1">IF(AND($C37="S",ORÇAMENTO.CodBarra&lt;&gt;""),IF(ORÇAMENTO.Fonte="",ORÇAMENTO.CodBarra,CONCATENATE(ORÇAMENTO.Fonte," ",ORÇAMENTO.CodBarra)))</f>
        <v>0</v>
      </c>
      <c r="AF37" s="155" t="str">
        <f ca="1">IF(ISERROR(INDIRECT(ORÇAMENTO.BancoRef)),"(abra o arquivo 'Referência "&amp;Excel_BuiltIn_Database&amp;".xlsm)",IF(OR($C37&lt;&gt;"S",ORÇAMENTO.CodBarra=""),"(Sem Código)",IF(ISERROR(MATCH($AE37,INDIRECT(ORÇAMENTO.BancoRef),0)),"(Código não identificado nas referências)",MATCH($AE37,INDIRECT(ORÇAMENTO.BancoRef),0))))</f>
        <v>(abra o arquivo 'Referência 07-2024.xlsm)</v>
      </c>
      <c r="AG37" s="574">
        <f ca="1">ROUND(IF(DESONERACAO="sim",REFERENCIA.Desonerado,REFERENCIA.NaoDesonerado),2)</f>
        <v>0</v>
      </c>
      <c r="AH37" s="575">
        <f t="shared" ca="1" si="15"/>
        <v>0.25679999999999997</v>
      </c>
      <c r="AJ37" s="577"/>
      <c r="AL37" s="607"/>
      <c r="AM37" s="426">
        <f t="shared" ca="1" si="0"/>
        <v>0</v>
      </c>
      <c r="AN37" s="650">
        <f t="shared" ca="1" si="16"/>
        <v>0</v>
      </c>
    </row>
    <row r="38" spans="1:40" ht="38.25">
      <c r="A38" t="str">
        <f t="shared" si="1"/>
        <v>S</v>
      </c>
      <c r="B38">
        <f t="shared" ca="1" si="2"/>
        <v>2</v>
      </c>
      <c r="C38" t="str">
        <f t="shared" ca="1" si="3"/>
        <v>S</v>
      </c>
      <c r="D38">
        <f t="shared" ca="1" si="4"/>
        <v>0</v>
      </c>
      <c r="E38">
        <f ca="1">IF($C38=1,OFFSET(E38,-1,0)+MAX(1,COUNTIF(QCI!$A$13:$A$24,OFFSET(ORÇAMENTO!E38,-1,0))),OFFSET(E38,-1,0))</f>
        <v>1</v>
      </c>
      <c r="F38">
        <f t="shared" ca="1" si="5"/>
        <v>5</v>
      </c>
      <c r="G38">
        <f t="shared" ca="1" si="6"/>
        <v>0</v>
      </c>
      <c r="H38">
        <f t="shared" ca="1" si="7"/>
        <v>0</v>
      </c>
      <c r="I38">
        <f t="shared" ca="1" si="8"/>
        <v>0</v>
      </c>
      <c r="J38">
        <f t="shared" ca="1" si="9"/>
        <v>0</v>
      </c>
      <c r="K38">
        <f ca="1">IF(OR($C38="S",$C38=0),0,MATCH(OFFSET($D38,0,$C38)+IF($C38&lt;&gt;1,1,COUNTIF(QCI!$A$13:$A$24,ORÇAMENTO!E38)),OFFSET($D38,1,$C38,ROW($C$43)-ROW($C38)),0))</f>
        <v>0</v>
      </c>
      <c r="L38" s="139" t="str">
        <f t="shared" ca="1" si="10"/>
        <v/>
      </c>
      <c r="M38" s="140" t="s">
        <v>199</v>
      </c>
      <c r="N38" s="141" t="str">
        <f t="shared" ca="1" si="11"/>
        <v>Serviço</v>
      </c>
      <c r="O38" s="142" t="str">
        <f t="shared" ca="1" si="12"/>
        <v>-</v>
      </c>
      <c r="P38" s="143" t="s">
        <v>464</v>
      </c>
      <c r="Q38" s="668" t="s">
        <v>465</v>
      </c>
      <c r="R38" s="145" t="str">
        <f ca="1">IF($C38="S",REFERENCIA.Descricao,"(digite a descrição aqui)")</f>
        <v>(abra o arquivo 'Referência 07-2024.xlsm)</v>
      </c>
      <c r="S38" s="146" t="str">
        <f ca="1">REFERENCIA.Unidade</f>
        <v>-</v>
      </c>
      <c r="T38" s="147">
        <f ca="1">OFFSET(CÁLCULO!H$15,ROW($T38)-ROW(T$15),0)</f>
        <v>8</v>
      </c>
      <c r="U38" s="148">
        <f t="shared" ca="1" si="44"/>
        <v>0</v>
      </c>
      <c r="V38" s="149" t="s">
        <v>156</v>
      </c>
      <c r="W38" s="147">
        <f ca="1">IF($C38="S",ROUND(IF(TIPOORCAMENTO="Proposto",ORÇAMENTO.CustoUnitario*(1+$AH38),ORÇAMENTO.PrecoUnitarioLicitado),15-13*$AF$10),0)</f>
        <v>0</v>
      </c>
      <c r="X38" s="150">
        <f ca="1">IF($C38="S",IF(Import.TipoArredondamento&lt;&gt;"TransfereGOV",VTOTAL1,SUM(OFFSET(CÁLCULO!$AA$15,ROW($X38)-ROW($X$15),1):OFFSET(CÁLCULO!$AL$15,ROW($X38)-ROW($X$15),-1))),IF($C38=0,0,ROUND(SomaAgrup,15-13*$AF$11)))</f>
        <v>0</v>
      </c>
      <c r="Y38" s="151" t="s">
        <v>245</v>
      </c>
      <c r="Z38" t="str">
        <f t="shared" ca="1" si="13"/>
        <v/>
      </c>
      <c r="AA38" s="152">
        <f ca="1">IF($C38="S",IF($Z38="CP",$X38,IF($Z38="RA",(($X38)*QCI!$AA$3),0)),SomaAgrup)</f>
        <v>0</v>
      </c>
      <c r="AB38" s="153">
        <f t="shared" ca="1" si="14"/>
        <v>0</v>
      </c>
      <c r="AC38" s="154" t="str">
        <f ca="1">IF($N38="","",IF(ORÇAMENTO.Descricao="","DESCRIÇÃO",IF(AND($C38="S",ORÇAMENTO.Unidade=""),"UNIDADE",IF($X38&lt;0,"VALOR NEGATIVO",IF(OR(AND(TIPOORCAMENTO="Proposto",$AG38&lt;&gt;"",$AG38&gt;0,ORÇAMENTO.CustoUnitario&gt;$AG38),AND(TIPOORCAMENTO="LICITADO",ORÇAMENTO.PrecoUnitarioLicitado&gt;$AN38)),"ACIMA REF.","")))))</f>
        <v/>
      </c>
      <c r="AD38" s="100" t="str">
        <f ca="1">IF(C38&lt;=CRONO.NivelExibicao,MAX($AD$15:OFFSET(AD38,-1,0))+IF($C38&lt;&gt;1,1,MAX(1,COUNTIF(QCI!$A$13:$A$24,OFFSET($E38,-1,0)))),"")</f>
        <v/>
      </c>
      <c r="AE38" s="110" t="str">
        <f ca="1">IF(AND($C38="S",ORÇAMENTO.CodBarra&lt;&gt;""),IF(ORÇAMENTO.Fonte="",ORÇAMENTO.CodBarra,CONCATENATE(ORÇAMENTO.Fonte," ",ORÇAMENTO.CodBarra)))</f>
        <v>Composição CO-01</v>
      </c>
      <c r="AF38" s="155" t="str">
        <f ca="1">IF(ISERROR(INDIRECT(ORÇAMENTO.BancoRef)),"(abra o arquivo 'Referência "&amp;Excel_BuiltIn_Database&amp;".xlsm)",IF(OR($C38&lt;&gt;"S",ORÇAMENTO.CodBarra=""),"(Sem Código)",IF(ISERROR(MATCH($AE38,INDIRECT(ORÇAMENTO.BancoRef),0)),"(Código não identificado nas referências)",MATCH($AE38,INDIRECT(ORÇAMENTO.BancoRef),0))))</f>
        <v>(abra o arquivo 'Referência 07-2024.xlsm)</v>
      </c>
      <c r="AG38" s="574">
        <f ca="1">ROUND(IF(DESONERACAO="sim",REFERENCIA.Desonerado,REFERENCIA.NaoDesonerado),2)</f>
        <v>0</v>
      </c>
      <c r="AH38" s="575">
        <f t="shared" ca="1" si="15"/>
        <v>0.25679999999999997</v>
      </c>
      <c r="AJ38" s="577">
        <v>8</v>
      </c>
      <c r="AL38" s="607"/>
      <c r="AM38" s="426">
        <f t="shared" ca="1" si="0"/>
        <v>0</v>
      </c>
      <c r="AN38" s="650">
        <f t="shared" ca="1" si="16"/>
        <v>0</v>
      </c>
    </row>
    <row r="39" spans="1:40" ht="25.5">
      <c r="A39" t="str">
        <f t="shared" si="1"/>
        <v>S</v>
      </c>
      <c r="B39">
        <f t="shared" ca="1" si="2"/>
        <v>2</v>
      </c>
      <c r="C39" t="str">
        <f t="shared" ca="1" si="3"/>
        <v>S</v>
      </c>
      <c r="D39">
        <f t="shared" ca="1" si="4"/>
        <v>0</v>
      </c>
      <c r="E39">
        <f ca="1">IF($C39=1,OFFSET(E39,-1,0)+MAX(1,COUNTIF(QCI!$A$13:$A$24,OFFSET(ORÇAMENTO!E39,-1,0))),OFFSET(E39,-1,0))</f>
        <v>1</v>
      </c>
      <c r="F39">
        <f t="shared" ca="1" si="5"/>
        <v>5</v>
      </c>
      <c r="G39">
        <f t="shared" ca="1" si="6"/>
        <v>0</v>
      </c>
      <c r="H39">
        <f t="shared" ca="1" si="7"/>
        <v>0</v>
      </c>
      <c r="I39">
        <f t="shared" ca="1" si="8"/>
        <v>0</v>
      </c>
      <c r="J39">
        <f t="shared" ca="1" si="9"/>
        <v>0</v>
      </c>
      <c r="K39">
        <f ca="1">IF(OR($C39="S",$C39=0),0,MATCH(OFFSET($D39,0,$C39)+IF($C39&lt;&gt;1,1,COUNTIF(QCI!$A$13:$A$24,ORÇAMENTO!E39)),OFFSET($D39,1,$C39,ROW($C$43)-ROW($C39)),0))</f>
        <v>0</v>
      </c>
      <c r="L39" s="139" t="str">
        <f t="shared" ca="1" si="10"/>
        <v/>
      </c>
      <c r="M39" s="140" t="s">
        <v>199</v>
      </c>
      <c r="N39" s="141" t="str">
        <f t="shared" ca="1" si="11"/>
        <v>Serviço</v>
      </c>
      <c r="O39" s="142" t="str">
        <f t="shared" ca="1" si="12"/>
        <v>-</v>
      </c>
      <c r="P39" s="143" t="s">
        <v>464</v>
      </c>
      <c r="Q39" s="668" t="s">
        <v>466</v>
      </c>
      <c r="R39" s="145" t="str">
        <f ca="1">IF($C39="S",REFERENCIA.Descricao,"(digite a descrição aqui)")</f>
        <v>(abra o arquivo 'Referência 07-2024.xlsm)</v>
      </c>
      <c r="S39" s="146" t="str">
        <f ca="1">REFERENCIA.Unidade</f>
        <v>-</v>
      </c>
      <c r="T39" s="147">
        <f ca="1">OFFSET(CÁLCULO!H$15,ROW($T39)-ROW(T$15),0)</f>
        <v>1</v>
      </c>
      <c r="U39" s="148">
        <f t="shared" ca="1" si="44"/>
        <v>0</v>
      </c>
      <c r="V39" s="149" t="s">
        <v>156</v>
      </c>
      <c r="W39" s="147">
        <f ca="1">IF($C39="S",ROUND(IF(TIPOORCAMENTO="Proposto",ORÇAMENTO.CustoUnitario*(1+$AH39),ORÇAMENTO.PrecoUnitarioLicitado),15-13*$AF$10),0)</f>
        <v>0</v>
      </c>
      <c r="X39" s="150">
        <f ca="1">IF($C39="S",IF(Import.TipoArredondamento&lt;&gt;"TransfereGOV",VTOTAL1,SUM(OFFSET(CÁLCULO!$AA$15,ROW($X39)-ROW($X$15),1):OFFSET(CÁLCULO!$AL$15,ROW($X39)-ROW($X$15),-1))),IF($C39=0,0,ROUND(SomaAgrup,15-13*$AF$11)))</f>
        <v>0</v>
      </c>
      <c r="Y39" s="151" t="s">
        <v>245</v>
      </c>
      <c r="Z39" t="str">
        <f t="shared" ca="1" si="13"/>
        <v/>
      </c>
      <c r="AA39" s="152">
        <f ca="1">IF($C39="S",IF($Z39="CP",$X39,IF($Z39="RA",(($X39)*QCI!$AA$3),0)),SomaAgrup)</f>
        <v>0</v>
      </c>
      <c r="AB39" s="153">
        <f t="shared" ca="1" si="14"/>
        <v>0</v>
      </c>
      <c r="AC39" s="154" t="str">
        <f ca="1">IF($N39="","",IF(ORÇAMENTO.Descricao="","DESCRIÇÃO",IF(AND($C39="S",ORÇAMENTO.Unidade=""),"UNIDADE",IF($X39&lt;0,"VALOR NEGATIVO",IF(OR(AND(TIPOORCAMENTO="Proposto",$AG39&lt;&gt;"",$AG39&gt;0,ORÇAMENTO.CustoUnitario&gt;$AG39),AND(TIPOORCAMENTO="LICITADO",ORÇAMENTO.PrecoUnitarioLicitado&gt;$AN39)),"ACIMA REF.","")))))</f>
        <v/>
      </c>
      <c r="AD39" s="100" t="str">
        <f ca="1">IF(C39&lt;=CRONO.NivelExibicao,MAX($AD$15:OFFSET(AD39,-1,0))+IF($C39&lt;&gt;1,1,MAX(1,COUNTIF(QCI!$A$13:$A$24,OFFSET($E39,-1,0)))),"")</f>
        <v/>
      </c>
      <c r="AE39" s="110" t="str">
        <f ca="1">IF(AND($C39="S",ORÇAMENTO.CodBarra&lt;&gt;""),IF(ORÇAMENTO.Fonte="",ORÇAMENTO.CodBarra,CONCATENATE(ORÇAMENTO.Fonte," ",ORÇAMENTO.CodBarra)))</f>
        <v>Composição CO-03</v>
      </c>
      <c r="AF39" s="155" t="str">
        <f ca="1">IF(ISERROR(INDIRECT(ORÇAMENTO.BancoRef)),"(abra o arquivo 'Referência "&amp;Excel_BuiltIn_Database&amp;".xlsm)",IF(OR($C39&lt;&gt;"S",ORÇAMENTO.CodBarra=""),"(Sem Código)",IF(ISERROR(MATCH($AE39,INDIRECT(ORÇAMENTO.BancoRef),0)),"(Código não identificado nas referências)",MATCH($AE39,INDIRECT(ORÇAMENTO.BancoRef),0))))</f>
        <v>(abra o arquivo 'Referência 07-2024.xlsm)</v>
      </c>
      <c r="AG39" s="574">
        <f ca="1">ROUND(IF(DESONERACAO="sim",REFERENCIA.Desonerado,REFERENCIA.NaoDesonerado),2)</f>
        <v>0</v>
      </c>
      <c r="AH39" s="575">
        <f t="shared" ca="1" si="15"/>
        <v>0.25679999999999997</v>
      </c>
      <c r="AJ39" s="577">
        <v>1</v>
      </c>
      <c r="AL39" s="607"/>
      <c r="AM39" s="426">
        <f t="shared" ca="1" si="0"/>
        <v>0</v>
      </c>
      <c r="AN39" s="650">
        <f t="shared" ca="1" si="16"/>
        <v>0</v>
      </c>
    </row>
    <row r="40" spans="1:40" ht="38.25">
      <c r="A40" t="str">
        <f>CHOOSE(1+LOG(1+2*(ORÇAMENTO.Nivel="Meta")+4*(ORÇAMENTO.Nivel="Nível 2")+8*(ORÇAMENTO.Nivel="Nível 3")+16*(ORÇAMENTO.Nivel="Nível 4")+32*(ORÇAMENTO.Nivel="Serviço"),2),0,1,2,3,4,"S")</f>
        <v>S</v>
      </c>
      <c r="B40">
        <f ca="1">IF(OR(C40="s",C40=0),OFFSET(B40,-1,0),C40)</f>
        <v>2</v>
      </c>
      <c r="C40" t="str">
        <f ca="1">IF(OFFSET(C40,-1,0)="L",1,IF(OFFSET(C40,-1,0)=1,2,IF(OR(A40="s",A40=0),"S",IF(AND(OFFSET(C40,-1,0)=2,A40=4),3,IF(AND(OR(OFFSET(C40,-1,0)="s",OFFSET(C40,-1,0)=0),A40&lt;&gt;"s",A40&gt;OFFSET(B40,-1,0)),OFFSET(B40,-1,0),A40)))))</f>
        <v>S</v>
      </c>
      <c r="D40">
        <f ca="1">IF(OR(C40="S",C40=0),0,IF(ISERROR(K40),J40,SMALL(J40:K40,1)))</f>
        <v>0</v>
      </c>
      <c r="E40">
        <f ca="1">IF($C40=1,OFFSET(E40,-1,0)+MAX(1,COUNTIF(QCI!$A$13:$A$24,OFFSET(ORÇAMENTO!E40,-1,0))),OFFSET(E40,-1,0))</f>
        <v>1</v>
      </c>
      <c r="F40">
        <f ca="1">IF($C40=1,0,IF($C40=2,OFFSET(F40,-1,0)+1,OFFSET(F40,-1,0)))</f>
        <v>5</v>
      </c>
      <c r="G40">
        <f ca="1">IF(AND($C40&lt;=2,$C40&lt;&gt;0),0,IF($C40=3,OFFSET(G40,-1,0)+1,OFFSET(G40,-1,0)))</f>
        <v>0</v>
      </c>
      <c r="H40">
        <f ca="1">IF(AND($C40&lt;=3,$C40&lt;&gt;0),0,IF($C40=4,OFFSET(H40,-1,0)+1,OFFSET(H40,-1,0)))</f>
        <v>0</v>
      </c>
      <c r="I40">
        <f ca="1">IF(AND($C40&lt;=4,$C40&lt;&gt;0),0,IF(AND($C40="S",$X40&gt;0),OFFSET(I40,-1,0)+1,OFFSET(I40,-1,0)))</f>
        <v>0</v>
      </c>
      <c r="J40">
        <f t="shared" ca="1" si="9"/>
        <v>0</v>
      </c>
      <c r="K40">
        <f ca="1">IF(OR($C40="S",$C40=0),0,MATCH(OFFSET($D40,0,$C40)+IF($C40&lt;&gt;1,1,COUNTIF(QCI!$A$13:$A$24,ORÇAMENTO!E40)),OFFSET($D40,1,$C40,ROW($C$43)-ROW($C40)),0))</f>
        <v>0</v>
      </c>
      <c r="L40" s="139" t="str">
        <f ca="1">IF(OR($X40&gt;0,$C40=1,$C40=2,$C40=3,$C40=4),"F","")</f>
        <v/>
      </c>
      <c r="M40" s="140" t="s">
        <v>199</v>
      </c>
      <c r="N40" s="141" t="str">
        <f ca="1">CHOOSE(1+LOG(1+2*(C40=1)+4*(C40=2)+8*(C40=3)+16*(C40=4)+32*(C40="S"),2),"","Meta","Nível 2","Nível 3","Nível 4","Serviço")</f>
        <v>Serviço</v>
      </c>
      <c r="O40" s="142" t="str">
        <f ca="1">IF(OR($C40=0,$L40=""),"-",CONCATENATE(E40&amp;".",IF(AND($A$5&gt;=2,$C40&gt;=2),F40&amp;".",""),IF(AND($A$5&gt;=3,$C40&gt;=3),G40&amp;".",""),IF(AND($A$5&gt;=4,$C40&gt;=4),H40&amp;".",""),IF($C40="S",I40&amp;".","")))</f>
        <v>-</v>
      </c>
      <c r="P40" s="143" t="s">
        <v>464</v>
      </c>
      <c r="Q40" s="668" t="s">
        <v>469</v>
      </c>
      <c r="R40" s="145" t="str">
        <f ca="1">IF($C40="S",REFERENCIA.Descricao,"(digite a descrição aqui)")</f>
        <v>(abra o arquivo 'Referência 07-2024.xlsm)</v>
      </c>
      <c r="S40" s="146" t="str">
        <f ca="1">REFERENCIA.Unidade</f>
        <v>-</v>
      </c>
      <c r="T40" s="147">
        <f ca="1">OFFSET(CÁLCULO!H$15,ROW($T40)-ROW(T$15),0)</f>
        <v>4</v>
      </c>
      <c r="U40" s="148">
        <f t="shared" ca="1" si="44"/>
        <v>0</v>
      </c>
      <c r="V40" s="149" t="s">
        <v>156</v>
      </c>
      <c r="W40" s="147">
        <f ca="1">IF($C40="S",ROUND(IF(TIPOORCAMENTO="Proposto",ORÇAMENTO.CustoUnitario*(1+$AH40),ORÇAMENTO.PrecoUnitarioLicitado),15-13*$AF$10),0)</f>
        <v>0</v>
      </c>
      <c r="X40" s="150">
        <f ca="1">IF($C40="S",IF(Import.TipoArredondamento&lt;&gt;"TransfereGOV",VTOTAL1,SUM(OFFSET(CÁLCULO!$AA$15,ROW($X40)-ROW($X$15),1):OFFSET(CÁLCULO!$AL$15,ROW($X40)-ROW($X$15),-1))),IF($C40=0,0,ROUND(SomaAgrup,15-13*$AF$11)))</f>
        <v>0</v>
      </c>
      <c r="Y40" s="151" t="s">
        <v>245</v>
      </c>
      <c r="Z40" t="str">
        <f ca="1">IF(AND($C40="S",$X40&gt;0),IF(ISBLANK($Y40),"RA",LEFT($Y40,2)),"")</f>
        <v/>
      </c>
      <c r="AA40" s="152">
        <f ca="1">IF($C40="S",IF($Z40="CP",$X40,IF($Z40="RA",(($X40)*QCI!$AA$3),0)),SomaAgrup)</f>
        <v>0</v>
      </c>
      <c r="AB40" s="153">
        <f ca="1">IF($C40="S",IF($Z40="OU",ROUND($X40,2),0),SomaAgrup)</f>
        <v>0</v>
      </c>
      <c r="AC40" s="154" t="str">
        <f ca="1">IF($N40="","",IF(ORÇAMENTO.Descricao="","DESCRIÇÃO",IF(AND($C40="S",ORÇAMENTO.Unidade=""),"UNIDADE",IF($X40&lt;0,"VALOR NEGATIVO",IF(OR(AND(TIPOORCAMENTO="Proposto",$AG40&lt;&gt;"",$AG40&gt;0,ORÇAMENTO.CustoUnitario&gt;$AG40),AND(TIPOORCAMENTO="LICITADO",ORÇAMENTO.PrecoUnitarioLicitado&gt;$AN40)),"ACIMA REF.","")))))</f>
        <v/>
      </c>
      <c r="AD40" s="669" t="str">
        <f ca="1">IF(C40&lt;=CRONO.NivelExibicao,MAX($AD$15:OFFSET(AD40,-1,0))+IF($C40&lt;&gt;1,1,MAX(1,COUNTIF(QCI!$A$13:$A$24,OFFSET($E40,-1,0)))),"")</f>
        <v/>
      </c>
      <c r="AE40" s="110" t="str">
        <f ca="1">IF(AND($C40="S",ORÇAMENTO.CodBarra&lt;&gt;""),IF(ORÇAMENTO.Fonte="",ORÇAMENTO.CodBarra,CONCATENATE(ORÇAMENTO.Fonte," ",ORÇAMENTO.CodBarra)))</f>
        <v>Composição CO-04</v>
      </c>
      <c r="AF40" s="155" t="str">
        <f ca="1">IF(ISERROR(INDIRECT(ORÇAMENTO.BancoRef)),"(abra o arquivo 'Referência "&amp;Excel_BuiltIn_Database&amp;".xlsm)",IF(OR($C40&lt;&gt;"S",ORÇAMENTO.CodBarra=""),"(Sem Código)",IF(ISERROR(MATCH($AE40,INDIRECT(ORÇAMENTO.BancoRef),0)),"(Código não identificado nas referências)",MATCH($AE40,INDIRECT(ORÇAMENTO.BancoRef),0))))</f>
        <v>(abra o arquivo 'Referência 07-2024.xlsm)</v>
      </c>
      <c r="AG40" s="574">
        <f ca="1">ROUND(IF(DESONERACAO="sim",REFERENCIA.Desonerado,REFERENCIA.NaoDesonerado),2)</f>
        <v>0</v>
      </c>
      <c r="AH40" s="575">
        <f ca="1">ROUND(IF(ISNUMBER(ORÇAMENTO.OpcaoBDI),ORÇAMENTO.OpcaoBDI,IF(LEFT(ORÇAMENTO.OpcaoBDI,3)="BDI",HLOOKUP(ORÇAMENTO.OpcaoBDI,$F$4:$H$5,2,FALSE),0)),15-11*$AF$9)</f>
        <v>0.25679999999999997</v>
      </c>
      <c r="AJ40" s="577">
        <v>4</v>
      </c>
      <c r="AL40" s="607"/>
      <c r="AM40" s="426">
        <f t="shared" ca="1" si="0"/>
        <v>0</v>
      </c>
      <c r="AN40" s="650">
        <f ca="1">ROUND(ORÇAMENTO.CustoUnitario*(1+$AH40),2)</f>
        <v>0</v>
      </c>
    </row>
    <row r="41" spans="1:40">
      <c r="A41">
        <f>CHOOSE(1+LOG(1+2*(ORÇAMENTO.Nivel="Meta")+4*(ORÇAMENTO.Nivel="Nível 2")+8*(ORÇAMENTO.Nivel="Nível 3")+16*(ORÇAMENTO.Nivel="Nível 4")+32*(ORÇAMENTO.Nivel="Serviço"),2),0,1,2,3,4,"S")</f>
        <v>2</v>
      </c>
      <c r="B41">
        <f t="shared" ref="B41:B42" ca="1" si="45">IF(OR(C41="s",C41=0),OFFSET(B41,-1,0),C41)</f>
        <v>2</v>
      </c>
      <c r="C41">
        <f t="shared" ref="C41:C42" ca="1" si="46">IF(OFFSET(C41,-1,0)="L",1,IF(OFFSET(C41,-1,0)=1,2,IF(OR(A41="s",A41=0),"S",IF(AND(OFFSET(C41,-1,0)=2,A41=4),3,IF(AND(OR(OFFSET(C41,-1,0)="s",OFFSET(C41,-1,0)=0),A41&lt;&gt;"s",A41&gt;OFFSET(B41,-1,0)),OFFSET(B41,-1,0),A41)))))</f>
        <v>2</v>
      </c>
      <c r="D41">
        <f t="shared" ref="D41:D42" ca="1" si="47">IF(OR(C41="S",C41=0),0,IF(ISERROR(K41),J41,SMALL(J41:K41,1)))</f>
        <v>2</v>
      </c>
      <c r="E41">
        <f ca="1">IF($C41=1,OFFSET(E41,-1,0)+MAX(1,COUNTIF(QCI!$A$13:$A$24,OFFSET(ORÇAMENTO!E41,-1,0))),OFFSET(E41,-1,0))</f>
        <v>1</v>
      </c>
      <c r="F41">
        <f t="shared" ref="F41:F42" ca="1" si="48">IF($C41=1,0,IF($C41=2,OFFSET(F41,-1,0)+1,OFFSET(F41,-1,0)))</f>
        <v>6</v>
      </c>
      <c r="G41">
        <f t="shared" ref="G41:G42" ca="1" si="49">IF(AND($C41&lt;=2,$C41&lt;&gt;0),0,IF($C41=3,OFFSET(G41,-1,0)+1,OFFSET(G41,-1,0)))</f>
        <v>0</v>
      </c>
      <c r="H41">
        <f t="shared" ref="H41:H42" ca="1" si="50">IF(AND($C41&lt;=3,$C41&lt;&gt;0),0,IF($C41=4,OFFSET(H41,-1,0)+1,OFFSET(H41,-1,0)))</f>
        <v>0</v>
      </c>
      <c r="I41">
        <f t="shared" ref="I41:I42" ca="1" si="51">IF(AND($C41&lt;=4,$C41&lt;&gt;0),0,IF(AND($C41="S",$X41&gt;0),OFFSET(I41,-1,0)+1,OFFSET(I41,-1,0)))</f>
        <v>0</v>
      </c>
      <c r="J41">
        <f t="shared" ca="1" si="9"/>
        <v>2</v>
      </c>
      <c r="K41" t="e">
        <f ca="1">IF(OR($C41="S",$C41=0),0,MATCH(OFFSET($D41,0,$C41)+IF($C41&lt;&gt;1,1,COUNTIF(QCI!$A$13:$A$24,ORÇAMENTO!E41)),OFFSET($D41,1,$C41,ROW($C$43)-ROW($C41)),0))</f>
        <v>#N/A</v>
      </c>
      <c r="L41" s="139" t="str">
        <f t="shared" ref="L41:L42" ca="1" si="52">IF(OR($X41&gt;0,$C41=1,$C41=2,$C41=3,$C41=4),"F","")</f>
        <v>F</v>
      </c>
      <c r="M41" s="140" t="s">
        <v>196</v>
      </c>
      <c r="N41" s="141" t="str">
        <f t="shared" ref="N41:N42" ca="1" si="53">CHOOSE(1+LOG(1+2*(C41=1)+4*(C41=2)+8*(C41=3)+16*(C41=4)+32*(C41="S"),2),"","Meta","Nível 2","Nível 3","Nível 4","Serviço")</f>
        <v>Nível 2</v>
      </c>
      <c r="O41" s="142" t="str">
        <f t="shared" ref="O41:O42" ca="1" si="54">IF(OR($C41=0,$L41=""),"-",CONCATENATE(E41&amp;".",IF(AND($A$5&gt;=2,$C41&gt;=2),F41&amp;".",""),IF(AND($A$5&gt;=3,$C41&gt;=3),G41&amp;".",""),IF(AND($A$5&gt;=4,$C41&gt;=4),H41&amp;".",""),IF($C41="S",I41&amp;".","")))</f>
        <v>1.6.</v>
      </c>
      <c r="P41" s="143" t="s">
        <v>247</v>
      </c>
      <c r="Q41" s="144"/>
      <c r="R41" s="145" t="str">
        <f ca="1">IF($C41="S",REFERENCIA.Descricao,"SINALIZAÇÃO HORIZONTAL")</f>
        <v>SINALIZAÇÃO HORIZONTAL</v>
      </c>
      <c r="S41" s="146" t="str">
        <f ca="1">REFERENCIA.Unidade</f>
        <v>-</v>
      </c>
      <c r="T41" s="147">
        <f ca="1">OFFSET(CÁLCULO!H$15,ROW($T41)-ROW(T$15),0)</f>
        <v>0</v>
      </c>
      <c r="U41" s="148"/>
      <c r="V41" s="149" t="s">
        <v>156</v>
      </c>
      <c r="W41" s="147">
        <f ca="1">IF($C41="S",ROUND(IF(TIPOORCAMENTO="Proposto",ORÇAMENTO.CustoUnitario*(1+$AH41),ORÇAMENTO.PrecoUnitarioLicitado),15-13*$AF$10),0)</f>
        <v>0</v>
      </c>
      <c r="X41" s="150">
        <f ca="1">IF($C41="S",IF(Import.TipoArredondamento&lt;&gt;"TransfereGOV",VTOTAL1,SUM(OFFSET(CÁLCULO!$AA$15,ROW($X41)-ROW($X$15),1):OFFSET(CÁLCULO!$AL$15,ROW($X41)-ROW($X$15),-1))),IF($C41=0,0,ROUND(SomaAgrup,15-13*$AF$11)))</f>
        <v>0</v>
      </c>
      <c r="Y41" s="151" t="s">
        <v>245</v>
      </c>
      <c r="Z41" t="str">
        <f t="shared" ref="Z41:Z42" ca="1" si="55">IF(AND($C41="S",$X41&gt;0),IF(ISBLANK($Y41),"RA",LEFT($Y41,2)),"")</f>
        <v/>
      </c>
      <c r="AA41" s="152">
        <f ca="1">IF($C41="S",IF($Z41="CP",$X41,IF($Z41="RA",(($X41)*QCI!$AA$3),0)),SomaAgrup)</f>
        <v>0</v>
      </c>
      <c r="AB41" s="153">
        <f ca="1">IF($C41="S",IF($Z41="OU",ROUND($X41,2),0),SomaAgrup)</f>
        <v>0</v>
      </c>
      <c r="AC41" s="154" t="str">
        <f ca="1">IF($N41="","",IF(ORÇAMENTO.Descricao="","DESCRIÇÃO",IF(AND($C41="S",ORÇAMENTO.Unidade=""),"UNIDADE",IF($X41&lt;0,"VALOR NEGATIVO",IF(OR(AND(TIPOORCAMENTO="Proposto",$AG41&lt;&gt;"",$AG41&gt;0,ORÇAMENTO.CustoUnitario&gt;$AG41),AND(TIPOORCAMENTO="LICITADO",ORÇAMENTO.PrecoUnitarioLicitado&gt;$AN41)),"ACIMA REF.","")))))</f>
        <v/>
      </c>
      <c r="AD41" s="670" t="str">
        <f ca="1">IF(C41&lt;=CRONO.NivelExibicao,MAX($AD$15:OFFSET(AD41,-1,0))+IF($C41&lt;&gt;1,1,MAX(1,COUNTIF(QCI!$A$13:$A$24,OFFSET($E41,-1,0)))),"")</f>
        <v/>
      </c>
      <c r="AE41" s="110" t="b">
        <f ca="1">IF(AND($C41="S",ORÇAMENTO.CodBarra&lt;&gt;""),IF(ORÇAMENTO.Fonte="",ORÇAMENTO.CodBarra,CONCATENATE(ORÇAMENTO.Fonte," ",ORÇAMENTO.CodBarra)))</f>
        <v>0</v>
      </c>
      <c r="AF41" s="155" t="str">
        <f ca="1">IF(ISERROR(INDIRECT(ORÇAMENTO.BancoRef)),"(abra o arquivo 'Referência "&amp;Excel_BuiltIn_Database&amp;".xlsm)",IF(OR($C41&lt;&gt;"S",ORÇAMENTO.CodBarra=""),"(Sem Código)",IF(ISERROR(MATCH($AE41,INDIRECT(ORÇAMENTO.BancoRef),0)),"(Código não identificado nas referências)",MATCH($AE41,INDIRECT(ORÇAMENTO.BancoRef),0))))</f>
        <v>(abra o arquivo 'Referência 07-2024.xlsm)</v>
      </c>
      <c r="AG41" s="574">
        <f ca="1">ROUND(IF(DESONERACAO="sim",REFERENCIA.Desonerado,REFERENCIA.NaoDesonerado),2)</f>
        <v>0</v>
      </c>
      <c r="AH41" s="575">
        <f ca="1">ROUND(IF(ISNUMBER(ORÇAMENTO.OpcaoBDI),ORÇAMENTO.OpcaoBDI,IF(LEFT(ORÇAMENTO.OpcaoBDI,3)="BDI",HLOOKUP(ORÇAMENTO.OpcaoBDI,$F$4:$H$5,2,FALSE),0)),15-11*$AF$9)</f>
        <v>0.25679999999999997</v>
      </c>
      <c r="AJ41" s="577"/>
      <c r="AL41" s="607"/>
      <c r="AM41" s="426">
        <f t="shared" ca="1" si="0"/>
        <v>0</v>
      </c>
      <c r="AN41" s="650">
        <f ca="1">ROUND(ORÇAMENTO.CustoUnitario*(1+$AH41),2)</f>
        <v>0</v>
      </c>
    </row>
    <row r="42" spans="1:40" ht="51">
      <c r="A42" t="str">
        <f>CHOOSE(1+LOG(1+2*(ORÇAMENTO.Nivel="Meta")+4*(ORÇAMENTO.Nivel="Nível 2")+8*(ORÇAMENTO.Nivel="Nível 3")+16*(ORÇAMENTO.Nivel="Nível 4")+32*(ORÇAMENTO.Nivel="Serviço"),2),0,1,2,3,4,"S")</f>
        <v>S</v>
      </c>
      <c r="B42">
        <f t="shared" ca="1" si="45"/>
        <v>2</v>
      </c>
      <c r="C42" t="str">
        <f t="shared" ca="1" si="46"/>
        <v>S</v>
      </c>
      <c r="D42">
        <f t="shared" ca="1" si="47"/>
        <v>0</v>
      </c>
      <c r="E42">
        <f ca="1">IF($C42=1,OFFSET(E42,-1,0)+MAX(1,COUNTIF(QCI!$A$13:$A$24,OFFSET(ORÇAMENTO!E42,-1,0))),OFFSET(E42,-1,0))</f>
        <v>1</v>
      </c>
      <c r="F42">
        <f t="shared" ca="1" si="48"/>
        <v>6</v>
      </c>
      <c r="G42">
        <f t="shared" ca="1" si="49"/>
        <v>0</v>
      </c>
      <c r="H42">
        <f t="shared" ca="1" si="50"/>
        <v>0</v>
      </c>
      <c r="I42">
        <f t="shared" ca="1" si="51"/>
        <v>0</v>
      </c>
      <c r="J42">
        <f t="shared" ca="1" si="9"/>
        <v>0</v>
      </c>
      <c r="K42">
        <f ca="1">IF(OR($C42="S",$C42=0),0,MATCH(OFFSET($D42,0,$C42)+IF($C42&lt;&gt;1,1,COUNTIF(QCI!$A$13:$A$24,ORÇAMENTO!E42)),OFFSET($D42,1,$C42,ROW($C$43)-ROW($C42)),0))</f>
        <v>0</v>
      </c>
      <c r="L42" s="139" t="str">
        <f t="shared" ca="1" si="52"/>
        <v/>
      </c>
      <c r="M42" s="140" t="s">
        <v>199</v>
      </c>
      <c r="N42" s="141" t="str">
        <f t="shared" ca="1" si="53"/>
        <v>Serviço</v>
      </c>
      <c r="O42" s="142" t="str">
        <f t="shared" ca="1" si="54"/>
        <v>-</v>
      </c>
      <c r="P42" s="362" t="s">
        <v>247</v>
      </c>
      <c r="Q42" s="668" t="s">
        <v>481</v>
      </c>
      <c r="R42" s="145" t="str">
        <f ca="1">IF($C42="S",REFERENCIA.Descricao,"(digite a descrição aqui)")</f>
        <v>(abra o arquivo 'Referência 07-2024.xlsm)</v>
      </c>
      <c r="S42" s="146" t="str">
        <f ca="1">REFERENCIA.Unidade</f>
        <v>-</v>
      </c>
      <c r="T42" s="147">
        <f ca="1">OFFSET(CÁLCULO!H$15,ROW($T42)-ROW(T$15),0)</f>
        <v>550</v>
      </c>
      <c r="U42" s="148">
        <f t="shared" ca="1" si="44"/>
        <v>0</v>
      </c>
      <c r="V42" s="149" t="s">
        <v>156</v>
      </c>
      <c r="W42" s="147">
        <f ca="1">IF($C42="S",ROUND(IF(TIPOORCAMENTO="Proposto",ORÇAMENTO.CustoUnitario*(1+$AH42),ORÇAMENTO.PrecoUnitarioLicitado),15-13*$AF$10),0)</f>
        <v>0</v>
      </c>
      <c r="X42" s="150">
        <f ca="1">IF($C42="S",IF(Import.TipoArredondamento&lt;&gt;"TransfereGOV",VTOTAL1,SUM(OFFSET(CÁLCULO!$AA$15,ROW($X42)-ROW($X$15),1):OFFSET(CÁLCULO!$AL$15,ROW($X42)-ROW($X$15),-1))),IF($C42=0,0,ROUND(SomaAgrup,15-13*$AF$11)))</f>
        <v>0</v>
      </c>
      <c r="Y42" s="151" t="s">
        <v>245</v>
      </c>
      <c r="Z42" t="str">
        <f t="shared" ca="1" si="55"/>
        <v/>
      </c>
      <c r="AA42" s="152">
        <f ca="1">IF($C42="S",IF($Z42="CP",$X42,IF($Z42="RA",(($X42)*QCI!$AA$3),0)),SomaAgrup)</f>
        <v>0</v>
      </c>
      <c r="AB42" s="153">
        <f ca="1">IF($C42="S",IF($Z42="OU",ROUND($X42,2),0),SomaAgrup)</f>
        <v>0</v>
      </c>
      <c r="AC42" s="154" t="str">
        <f ca="1">IF($N42="","",IF(ORÇAMENTO.Descricao="","DESCRIÇÃO",IF(AND($C42="S",ORÇAMENTO.Unidade=""),"UNIDADE",IF($X42&lt;0,"VALOR NEGATIVO",IF(OR(AND(TIPOORCAMENTO="Proposto",$AG42&lt;&gt;"",$AG42&gt;0,ORÇAMENTO.CustoUnitario&gt;$AG42),AND(TIPOORCAMENTO="LICITADO",ORÇAMENTO.PrecoUnitarioLicitado&gt;$AN42)),"ACIMA REF.","")))))</f>
        <v/>
      </c>
      <c r="AD42" s="670" t="str">
        <f ca="1">IF(C42&lt;=CRONO.NivelExibicao,MAX($AD$15:OFFSET(AD42,-1,0))+IF($C42&lt;&gt;1,1,MAX(1,COUNTIF(QCI!$A$13:$A$24,OFFSET($E42,-1,0)))),"")</f>
        <v/>
      </c>
      <c r="AE42" s="110" t="str">
        <f ca="1">IF(AND($C42="S",ORÇAMENTO.CodBarra&lt;&gt;""),IF(ORÇAMENTO.Fonte="",ORÇAMENTO.CodBarra,CONCATENATE(ORÇAMENTO.Fonte," ",ORÇAMENTO.CodBarra)))</f>
        <v>SINAPI 102512</v>
      </c>
      <c r="AF42" s="155" t="str">
        <f ca="1">IF(ISERROR(INDIRECT(ORÇAMENTO.BancoRef)),"(abra o arquivo 'Referência "&amp;Excel_BuiltIn_Database&amp;".xlsm)",IF(OR($C42&lt;&gt;"S",ORÇAMENTO.CodBarra=""),"(Sem Código)",IF(ISERROR(MATCH($AE42,INDIRECT(ORÇAMENTO.BancoRef),0)),"(Código não identificado nas referências)",MATCH($AE42,INDIRECT(ORÇAMENTO.BancoRef),0))))</f>
        <v>(abra o arquivo 'Referência 07-2024.xlsm)</v>
      </c>
      <c r="AG42" s="574">
        <f ca="1">ROUND(IF(DESONERACAO="sim",REFERENCIA.Desonerado,REFERENCIA.NaoDesonerado),2)</f>
        <v>0</v>
      </c>
      <c r="AH42" s="575">
        <f ca="1">ROUND(IF(ISNUMBER(ORÇAMENTO.OpcaoBDI),ORÇAMENTO.OpcaoBDI,IF(LEFT(ORÇAMENTO.OpcaoBDI,3)="BDI",HLOOKUP(ORÇAMENTO.OpcaoBDI,$F$4:$H$5,2,FALSE),0)),15-11*$AF$9)</f>
        <v>0.25679999999999997</v>
      </c>
      <c r="AJ42" s="577">
        <v>550</v>
      </c>
      <c r="AL42" s="607"/>
      <c r="AM42" s="426">
        <f t="shared" ca="1" si="0"/>
        <v>0</v>
      </c>
      <c r="AN42" s="650">
        <f ca="1">ROUND(ORÇAMENTO.CustoUnitario*(1+$AH42),2)</f>
        <v>0</v>
      </c>
    </row>
    <row r="43" spans="1:40" ht="5.0999999999999996" customHeight="1">
      <c r="A43">
        <v>-1</v>
      </c>
      <c r="C43">
        <v>-1</v>
      </c>
      <c r="E43">
        <v>0</v>
      </c>
      <c r="F43">
        <v>0</v>
      </c>
      <c r="G43">
        <v>0</v>
      </c>
      <c r="H43">
        <v>0</v>
      </c>
      <c r="I43">
        <v>0</v>
      </c>
      <c r="L43" s="139" t="s">
        <v>246</v>
      </c>
      <c r="M43" s="567"/>
      <c r="N43" s="568"/>
      <c r="O43" s="567"/>
      <c r="P43" s="569"/>
      <c r="Q43" s="569"/>
      <c r="R43" s="569"/>
      <c r="S43" s="569"/>
      <c r="T43" s="569"/>
      <c r="U43" s="569"/>
      <c r="V43" s="569"/>
      <c r="W43" s="569"/>
      <c r="X43" s="570"/>
      <c r="Y43" s="100"/>
      <c r="AA43" s="100"/>
      <c r="AB43" s="100"/>
      <c r="AC43" s="100"/>
      <c r="AD43" s="100"/>
      <c r="AE43" s="100"/>
      <c r="AF43" s="100"/>
      <c r="AG43" s="562"/>
      <c r="AH43" s="560"/>
      <c r="AJ43" s="571"/>
      <c r="AL43" s="562"/>
      <c r="AM43" s="559"/>
      <c r="AN43" s="560"/>
    </row>
    <row r="44" spans="1:40"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0"/>
      <c r="AA44" s="100"/>
      <c r="AB44" s="100"/>
      <c r="AC44" s="100"/>
      <c r="AD44" s="100"/>
      <c r="AE44" s="100"/>
      <c r="AF44" s="100"/>
      <c r="AG44" s="100"/>
      <c r="AH44" s="100"/>
      <c r="AN44" s="100"/>
    </row>
    <row r="45" spans="1:40"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0"/>
      <c r="AA45" s="100"/>
      <c r="AB45" s="100"/>
      <c r="AC45" s="100"/>
      <c r="AD45" s="100"/>
      <c r="AE45" s="100"/>
      <c r="AF45" s="100"/>
      <c r="AG45" s="100"/>
      <c r="AH45" s="100"/>
      <c r="AN45" s="100"/>
    </row>
    <row r="46" spans="1:40" ht="14.25">
      <c r="A46" s="100"/>
      <c r="B46" s="10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65" t="s">
        <v>248</v>
      </c>
      <c r="P46" s="100"/>
      <c r="Q46" s="709" t="s">
        <v>249</v>
      </c>
      <c r="R46" s="709"/>
      <c r="S46" s="709"/>
      <c r="T46" s="709"/>
      <c r="U46" s="709"/>
      <c r="V46" s="709"/>
      <c r="W46" s="709"/>
      <c r="X46" s="709"/>
      <c r="Y46" s="100"/>
      <c r="Z46" s="100"/>
      <c r="AA46" s="100"/>
      <c r="AB46" s="100"/>
      <c r="AC46" s="100"/>
      <c r="AD46" s="100"/>
      <c r="AE46" s="100"/>
      <c r="AF46" s="100"/>
      <c r="AG46" s="100"/>
      <c r="AH46" s="100"/>
      <c r="AN46" s="100"/>
    </row>
    <row r="47" spans="1:40">
      <c r="A47" s="100"/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  <c r="Y47" s="100"/>
      <c r="Z47" s="100"/>
      <c r="AA47" s="100"/>
      <c r="AB47" s="100"/>
      <c r="AC47" s="100"/>
      <c r="AD47" s="100"/>
      <c r="AE47" s="100"/>
      <c r="AF47" s="100"/>
      <c r="AG47" s="100"/>
      <c r="AH47" s="100"/>
      <c r="AN47" s="100"/>
    </row>
    <row r="48" spans="1:40" ht="14.25">
      <c r="A48" s="100"/>
      <c r="B48" s="100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66" t="s">
        <v>187</v>
      </c>
      <c r="P48" s="101"/>
      <c r="Q48" s="101"/>
      <c r="R48" s="101"/>
      <c r="S48" s="101"/>
      <c r="T48" s="101"/>
      <c r="U48" s="101"/>
      <c r="V48" s="101"/>
      <c r="W48" s="101"/>
      <c r="X48" s="167"/>
      <c r="Y48" s="100"/>
      <c r="Z48" s="100"/>
      <c r="AA48" s="100"/>
      <c r="AB48" s="100"/>
      <c r="AC48" s="100"/>
      <c r="AD48" s="100"/>
      <c r="AE48" s="100"/>
      <c r="AF48" s="100"/>
      <c r="AG48" s="100"/>
      <c r="AH48" s="100"/>
      <c r="AN48" s="100"/>
    </row>
    <row r="49" spans="1:40" ht="12.75" customHeight="1">
      <c r="A49" s="100"/>
      <c r="B49" s="100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710"/>
      <c r="P49" s="710"/>
      <c r="Q49" s="710"/>
      <c r="R49" s="710"/>
      <c r="S49" s="710"/>
      <c r="T49" s="710"/>
      <c r="U49" s="710"/>
      <c r="V49" s="710"/>
      <c r="W49" s="710"/>
      <c r="X49" s="71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N49" s="100"/>
    </row>
    <row r="50" spans="1:40">
      <c r="A50" s="100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710"/>
      <c r="P50" s="710"/>
      <c r="Q50" s="710"/>
      <c r="R50" s="710"/>
      <c r="S50" s="710"/>
      <c r="T50" s="710"/>
      <c r="U50" s="710"/>
      <c r="V50" s="710"/>
      <c r="W50" s="710"/>
      <c r="X50" s="71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N50" s="100"/>
    </row>
    <row r="51" spans="1:40">
      <c r="A51" s="100"/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710"/>
      <c r="P51" s="710"/>
      <c r="Q51" s="710"/>
      <c r="R51" s="710"/>
      <c r="S51" s="710"/>
      <c r="T51" s="710"/>
      <c r="U51" s="710"/>
      <c r="V51" s="710"/>
      <c r="W51" s="710"/>
      <c r="X51" s="71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N51" s="100"/>
    </row>
    <row r="52" spans="1:40" ht="14.25">
      <c r="A52" s="100"/>
      <c r="B52" s="100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614"/>
      <c r="P52" s="614"/>
      <c r="Q52" s="614"/>
      <c r="R52" s="614"/>
      <c r="S52" s="614"/>
      <c r="T52" s="614"/>
      <c r="U52" s="614"/>
      <c r="V52" s="614"/>
      <c r="W52" s="614"/>
      <c r="X52" s="614"/>
      <c r="Y52" s="614"/>
      <c r="Z52" s="168"/>
      <c r="AA52" s="168"/>
      <c r="AB52" s="168"/>
      <c r="AC52" s="100"/>
      <c r="AD52" s="100"/>
      <c r="AE52" s="100"/>
      <c r="AF52" s="100"/>
      <c r="AG52" s="100"/>
      <c r="AH52" s="100"/>
      <c r="AN52" s="100"/>
    </row>
    <row r="53" spans="1:40" ht="15">
      <c r="A53" s="100"/>
      <c r="B53" s="100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711" t="str">
        <f>IF(AND($AF$7=FALSE,$AF$8=FALSE,$AF$9=FALSE,$AF$10=FALSE,$AF$11=FALSE),"Não foi considerado arredondamento nos valores da planilha.",CONCATENATE("Foi considerado arredondamento de duas casas decimais para ",IF($AF$7=TRUE,"Quantidade; ",""),IF($AF$8=TRUE,"Custo Unitário; ",""),IF($AF$9=TRUE,"BDI; ",""),IF($AF$10=TRUE,"Preço Unitário; ",""),IF($AF$11=TRUE,"Preço Total.","")))</f>
        <v>Foi considerado arredondamento de duas casas decimais para Quantidade; Custo Unitário; BDI; Preço Unitário; Preço Total.</v>
      </c>
      <c r="P53" s="711"/>
      <c r="Q53" s="711"/>
      <c r="R53" s="711"/>
      <c r="S53" s="711"/>
      <c r="T53" s="711"/>
      <c r="U53" s="711"/>
      <c r="V53" s="711"/>
      <c r="W53" s="711"/>
      <c r="X53" s="711"/>
      <c r="Y53" s="169"/>
      <c r="Z53" s="169"/>
      <c r="AA53" s="169"/>
      <c r="AB53" s="169"/>
      <c r="AC53" s="100"/>
      <c r="AD53" s="100"/>
      <c r="AE53" s="100"/>
      <c r="AF53" s="100"/>
      <c r="AG53" s="100"/>
      <c r="AH53" s="100"/>
      <c r="AN53" s="100"/>
    </row>
    <row r="54" spans="1:40" ht="15" customHeight="1">
      <c r="A54" s="100"/>
      <c r="B54" s="100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713" t="s">
        <v>250</v>
      </c>
      <c r="P54" s="713"/>
      <c r="Q54" s="713"/>
      <c r="R54" s="713"/>
      <c r="S54" s="713"/>
      <c r="T54" s="713"/>
      <c r="U54" s="713"/>
      <c r="V54" s="713"/>
      <c r="W54" s="713"/>
      <c r="X54" s="713"/>
      <c r="Y54" s="169"/>
      <c r="Z54" s="169"/>
      <c r="AA54" s="169"/>
      <c r="AB54" s="169"/>
      <c r="AC54" s="100"/>
      <c r="AD54" s="100"/>
      <c r="AE54" s="100"/>
      <c r="AF54" s="100"/>
      <c r="AG54" s="100"/>
      <c r="AH54" s="100"/>
      <c r="AN54" s="100"/>
    </row>
    <row r="55" spans="1:40">
      <c r="A55" s="100"/>
      <c r="B55" s="100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  <c r="Y55" s="100"/>
      <c r="Z55" s="100"/>
      <c r="AA55" s="100"/>
      <c r="AB55" s="100"/>
      <c r="AC55" s="100"/>
      <c r="AD55" s="100"/>
      <c r="AE55" s="100"/>
      <c r="AF55" s="100"/>
      <c r="AG55" s="100"/>
      <c r="AH55" s="100"/>
      <c r="AN55" s="100"/>
    </row>
    <row r="56" spans="1:40" ht="30" customHeight="1">
      <c r="A56" s="100"/>
      <c r="B56" s="100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0"/>
      <c r="O56" s="712" t="str">
        <f>Import.Município</f>
        <v>PAINS/MG</v>
      </c>
      <c r="P56" s="712"/>
      <c r="Q56" s="712"/>
      <c r="R56" s="100"/>
      <c r="S56" s="635"/>
      <c r="T56" s="635"/>
      <c r="U56" s="635"/>
      <c r="V56" s="635"/>
      <c r="W56" s="552"/>
      <c r="X56" s="100"/>
      <c r="Y56" s="100"/>
      <c r="Z56" s="100"/>
      <c r="AA56" s="100"/>
      <c r="AB56" s="100"/>
      <c r="AC56" s="100"/>
      <c r="AD56" s="100"/>
      <c r="AE56" s="100"/>
      <c r="AF56" s="100"/>
      <c r="AG56" s="100"/>
      <c r="AH56" s="100"/>
      <c r="AN56" s="100"/>
    </row>
    <row r="57" spans="1:40">
      <c r="A57" s="100"/>
      <c r="B57" s="100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2" t="s">
        <v>188</v>
      </c>
      <c r="P57" s="100"/>
      <c r="Q57" s="100"/>
      <c r="R57" s="100"/>
      <c r="S57" s="225" t="s">
        <v>190</v>
      </c>
      <c r="T57" s="225"/>
      <c r="U57" s="225"/>
      <c r="V57" s="225"/>
      <c r="X57" s="100"/>
      <c r="Y57" s="100"/>
      <c r="Z57" s="100"/>
      <c r="AA57" s="100"/>
      <c r="AB57" s="100"/>
      <c r="AC57" s="100"/>
      <c r="AD57" s="100"/>
      <c r="AE57" s="100"/>
      <c r="AF57" s="100"/>
      <c r="AG57" s="100"/>
      <c r="AH57" s="100"/>
      <c r="AN57" s="100"/>
    </row>
    <row r="58" spans="1:40">
      <c r="A58" s="100"/>
      <c r="B58" s="100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90" t="s">
        <v>108</v>
      </c>
      <c r="T58" s="91" t="str">
        <f t="array" ref="T58:T60">Import.RespOrçamento</f>
        <v>VINÍCIUS HENRIQUE ALVES</v>
      </c>
      <c r="U58" s="172"/>
      <c r="V58" s="92"/>
      <c r="X58" s="100"/>
      <c r="Y58" s="100"/>
      <c r="Z58" s="100"/>
      <c r="AA58" s="100"/>
      <c r="AB58" s="100"/>
      <c r="AC58" s="100"/>
      <c r="AD58" s="100"/>
      <c r="AE58" s="100"/>
      <c r="AF58" s="100"/>
      <c r="AG58" s="100"/>
      <c r="AH58" s="100"/>
      <c r="AN58" s="100"/>
    </row>
    <row r="59" spans="1:40">
      <c r="A59" s="100"/>
      <c r="B59" s="100"/>
      <c r="C59" s="100"/>
      <c r="D59" s="100"/>
      <c r="E59" s="100"/>
      <c r="F59" s="100"/>
      <c r="G59" s="100"/>
      <c r="H59" s="100"/>
      <c r="I59" s="100"/>
      <c r="J59" s="100"/>
      <c r="K59" s="100"/>
      <c r="L59" s="100"/>
      <c r="M59" s="100"/>
      <c r="N59" s="100"/>
      <c r="O59" s="707">
        <f ca="1">DADOS!$F$25</f>
        <v>45609</v>
      </c>
      <c r="P59" s="707"/>
      <c r="Q59" s="707"/>
      <c r="R59" s="100"/>
      <c r="S59" s="90" t="s">
        <v>109</v>
      </c>
      <c r="T59" s="91" t="str">
        <v>253.246/D</v>
      </c>
      <c r="U59" s="92"/>
      <c r="V59" s="92"/>
      <c r="X59" s="100"/>
      <c r="Y59" s="100"/>
      <c r="Z59" s="100"/>
      <c r="AA59" s="100"/>
      <c r="AB59" s="100"/>
      <c r="AC59" s="100"/>
      <c r="AD59" s="100"/>
      <c r="AE59" s="100"/>
      <c r="AF59" s="100"/>
      <c r="AG59" s="100"/>
      <c r="AH59" s="100"/>
      <c r="AN59" s="100"/>
    </row>
    <row r="60" spans="1:40">
      <c r="A60" s="100"/>
      <c r="B60" s="100"/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73" t="s">
        <v>189</v>
      </c>
      <c r="P60" s="174"/>
      <c r="Q60" s="174"/>
      <c r="R60" s="100"/>
      <c r="S60" s="90" t="s">
        <v>110</v>
      </c>
      <c r="T60" s="91" t="str">
        <v>MG20243487432</v>
      </c>
      <c r="U60" s="92"/>
      <c r="V60" s="92"/>
      <c r="X60" s="100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N60" s="100"/>
    </row>
  </sheetData>
  <sheetProtection password="BD1F" sheet="1" objects="1" scenarios="1" autoFilter="0"/>
  <autoFilter ref="L15:L43"/>
  <mergeCells count="24">
    <mergeCell ref="AE5:AF5"/>
    <mergeCell ref="O7:P7"/>
    <mergeCell ref="S7:U7"/>
    <mergeCell ref="AL7:AL11"/>
    <mergeCell ref="Y8:Y12"/>
    <mergeCell ref="Z8:Z12"/>
    <mergeCell ref="AA12:AB12"/>
    <mergeCell ref="AJ7:AJ11"/>
    <mergeCell ref="O4:P4"/>
    <mergeCell ref="S4:X4"/>
    <mergeCell ref="O5:P5"/>
    <mergeCell ref="S5:X5"/>
    <mergeCell ref="F8:K8"/>
    <mergeCell ref="L8:L12"/>
    <mergeCell ref="O8:P8"/>
    <mergeCell ref="S8:U8"/>
    <mergeCell ref="F9:K9"/>
    <mergeCell ref="O59:Q59"/>
    <mergeCell ref="O15:R15"/>
    <mergeCell ref="Q46:X46"/>
    <mergeCell ref="O49:X51"/>
    <mergeCell ref="O53:X53"/>
    <mergeCell ref="O56:Q56"/>
    <mergeCell ref="O54:X54"/>
  </mergeCells>
  <phoneticPr fontId="37" type="noConversion"/>
  <conditionalFormatting sqref="M14 M16:M42">
    <cfRule type="cellIs" dxfId="133" priority="8291" stopIfTrue="1" operator="notEqual">
      <formula>$N14</formula>
    </cfRule>
  </conditionalFormatting>
  <conditionalFormatting sqref="N14:O14 R14 W14:X14 N16:O42 R16:R42 W16:X42">
    <cfRule type="expression" dxfId="132" priority="8292" stopIfTrue="1">
      <formula>$C14=1</formula>
    </cfRule>
    <cfRule type="expression" dxfId="131" priority="8293" stopIfTrue="1">
      <formula>OR($C14=0,$C14=2,$C14=3,$C14=4)</formula>
    </cfRule>
  </conditionalFormatting>
  <conditionalFormatting sqref="U14:V14 U16:V42">
    <cfRule type="expression" dxfId="130" priority="8294" stopIfTrue="1">
      <formula>$C14=1</formula>
    </cfRule>
    <cfRule type="expression" dxfId="129" priority="8295" stopIfTrue="1">
      <formula>OR($C14=0,$C14=2,$C14=3,$C14=4)</formula>
    </cfRule>
    <cfRule type="expression" dxfId="128" priority="8296" stopIfTrue="1">
      <formula>AND(TIPOORCAMENTO="Licitado",$C14&lt;&gt;"L",$C14&lt;&gt;-1)</formula>
    </cfRule>
  </conditionalFormatting>
  <conditionalFormatting sqref="P14:Q14 S14:T14 Y14 AG14:AH14 S16:T42 Y16:Y42 AG16:AH42 P16:Q42">
    <cfRule type="expression" dxfId="127" priority="8297" stopIfTrue="1">
      <formula>$C14=1</formula>
    </cfRule>
    <cfRule type="expression" dxfId="126" priority="8298" stopIfTrue="1">
      <formula>OR($C14=0,$C14=2,$C14=3,$C14=4)</formula>
    </cfRule>
  </conditionalFormatting>
  <conditionalFormatting sqref="AJ7:AJ43">
    <cfRule type="expression" dxfId="125" priority="8299" stopIfTrue="1">
      <formula>OR(ACOMPANHAMENTO&lt;&gt;"BM",TIPOORCAMENTO="Licitado")</formula>
    </cfRule>
    <cfRule type="expression" dxfId="124" priority="8300" stopIfTrue="1">
      <formula>$C7=1</formula>
    </cfRule>
    <cfRule type="expression" dxfId="123" priority="8301" stopIfTrue="1">
      <formula>OR(AND(ISNUMBER($C7),$C7=0),$C7=2,$C7=3,$C7=4)</formula>
    </cfRule>
  </conditionalFormatting>
  <conditionalFormatting sqref="AL7:AL43">
    <cfRule type="expression" dxfId="122" priority="8302" stopIfTrue="1">
      <formula>TIPOORCAMENTO="PROPOSTO"</formula>
    </cfRule>
    <cfRule type="expression" dxfId="121" priority="8303" stopIfTrue="1">
      <formula>$C7=1</formula>
    </cfRule>
    <cfRule type="expression" dxfId="120" priority="8304" stopIfTrue="1">
      <formula>OR(AND(ISNUMBER($C7),$C7=0),$C7=2,$C7=3,$C7=4)</formula>
    </cfRule>
  </conditionalFormatting>
  <conditionalFormatting sqref="O8:P8">
    <cfRule type="expression" dxfId="119" priority="8308" stopIfTrue="1">
      <formula>ISERROR(INDIRECT($F$9))</formula>
    </cfRule>
  </conditionalFormatting>
  <conditionalFormatting sqref="S7:V8">
    <cfRule type="expression" dxfId="118" priority="8309" stopIfTrue="1">
      <formula>TIPOORCAMENTO="Proposto"</formula>
    </cfRule>
  </conditionalFormatting>
  <conditionalFormatting sqref="S9:V9">
    <cfRule type="expression" dxfId="117" priority="8256" stopIfTrue="1">
      <formula>TIPOORCAMENTO="Proposto"</formula>
    </cfRule>
  </conditionalFormatting>
  <conditionalFormatting sqref="AM7:AN43">
    <cfRule type="expression" dxfId="116" priority="8305" stopIfTrue="1">
      <formula>TIPOORCAMENTO="PROPOSTO"</formula>
    </cfRule>
    <cfRule type="expression" dxfId="115" priority="8306" stopIfTrue="1">
      <formula>$C7=1</formula>
    </cfRule>
    <cfRule type="expression" dxfId="114" priority="8307" stopIfTrue="1">
      <formula>OR(AND(ISNUMBER($C7),$C7=0),$C7=2,$C7=3,$C7=4)</formula>
    </cfRule>
  </conditionalFormatting>
  <dataValidations count="7">
    <dataValidation type="decimal" operator="greaterThan" allowBlank="1" showErrorMessage="1" error="Apenas números decimais maiores que zero." sqref="U14 AL14 AJ14 AJ16:AJ42 AL16:AL42 U16:U42">
      <formula1>0</formula1>
      <formula2>0</formula2>
    </dataValidation>
    <dataValidation type="list" allowBlank="1" sqref="P14 P16:P42">
      <formula1>"SINAPI,SINAPI-I,SICRO,Composição,Cotação"</formula1>
      <formula2>0</formula2>
    </dataValidation>
    <dataValidation type="list" errorStyle="warning" allowBlank="1" showInputMessage="1" showErrorMessage="1" errorTitle="Aviso BDI" error="Selecione um dos 3 BDI da lista.&#10;&#10;Caso tenha mais de 3 BDI nesta Planilha Orçamentária digite apenas valor percentual." promptTitle="Legenda:" prompt="RA: Rateio proporcional entre Repasse e Contrapartida.&#10;RP: 100% Repasse&#10;CP: 100% Contrapartida&#10;OU: 100% Outros." sqref="Y14 Y16:Y42">
      <formula1>"RA,RP,CP,OU"</formula1>
      <formula2>0</formula2>
    </dataValidation>
    <dataValidation type="list" errorStyle="warning" allowBlank="1" showErrorMessage="1" errorTitle="Aviso BDI" error="Selecione um dos 3 BDI da lista.&#10;&#10;Caso tenha mais de 3 BDI nesta Planilha Orçamentária digite apenas valor percentual." sqref="V14 V16:V42">
      <formula1>"BDI 1,BDI 2,BDI 3,0,00%"</formula1>
      <formula2>0</formula2>
    </dataValidation>
    <dataValidation type="list" showErrorMessage="1" errorTitle="Erro de Entrada" error="Selecione somente os itens da lista." promptTitle="Nível:" prompt="Selecione na lista o nível de itemização da Planilha." sqref="M14 M16:M42">
      <formula1>"Meta,Nível 2,Nível 3,Nível 4,Serviço"</formula1>
      <formula2>0</formula2>
    </dataValidation>
    <dataValidation allowBlank="1" showInputMessage="1" showErrorMessage="1" prompt="A entrada de quantidades é feita na coluna AJ se acompanhamento por BM, ou na aba &quot;Memória de Cálculo/PLQ&quot; se acompanhamento por PLE." sqref="T14 T16:T42"/>
    <dataValidation allowBlank="1" showInputMessage="1" showErrorMessage="1" prompt="Para Orçamento Proposto, o Preço Unitário é resultado do produto do Custo Unitário pelo BDI.&#10;Para Orçamento Licitado, deve ser preenchido na Coluna AL." sqref="W14 W16:W42"/>
  </dataValidations>
  <pageMargins left="0.78740157480314998" right="0.78740157480314998" top="0.78740157480314998" bottom="0.78740157480314998" header="0.59055118110236204" footer="0.59055118110236204"/>
  <pageSetup paperSize="9" scale="67" firstPageNumber="0" fitToHeight="0" orientation="landscape" r:id="rId1"/>
  <headerFooter alignWithMargins="0">
    <oddHeader>&amp;C&amp;14I</oddHeader>
    <oddFooter>&amp;LPMv3.0.6&amp;R&amp;P / &amp;N</oddFooter>
  </headerFooter>
  <colBreaks count="1" manualBreakCount="1">
    <brk id="25" max="1048575" man="1"/>
  </col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Plan6"/>
  <dimension ref="A1:BG65311"/>
  <sheetViews>
    <sheetView showGridLines="0" zoomScale="90" zoomScaleNormal="90" zoomScaleSheetLayoutView="90" workbookViewId="0">
      <pane xSplit="8" ySplit="15" topLeftCell="I25" activePane="bottomRight" state="frozen"/>
      <selection activeCell="C1" sqref="C1"/>
      <selection pane="topRight" activeCell="I1" sqref="I1"/>
      <selection pane="bottomLeft" activeCell="C16" sqref="C16"/>
      <selection pane="bottomRight" activeCell="I32" sqref="I32"/>
    </sheetView>
  </sheetViews>
  <sheetFormatPr defaultRowHeight="0" customHeight="1" zeroHeight="1"/>
  <cols>
    <col min="1" max="2" width="0" style="9" hidden="1" customWidth="1"/>
    <col min="3" max="3" width="3.7109375" style="9" customWidth="1"/>
    <col min="4" max="4" width="8.7109375" customWidth="1"/>
    <col min="5" max="5" width="12.7109375" customWidth="1"/>
    <col min="6" max="6" width="65.7109375" customWidth="1"/>
    <col min="7" max="7" width="10.7109375" customWidth="1"/>
    <col min="8" max="8" width="14.7109375" customWidth="1"/>
    <col min="9" max="9" width="29.7109375" customWidth="1"/>
    <col min="10" max="10" width="1.7109375" customWidth="1"/>
    <col min="11" max="11" width="4.7109375" customWidth="1"/>
    <col min="12" max="12" width="0.85546875" customWidth="1"/>
    <col min="13" max="13" width="9.140625" style="9" hidden="1" customWidth="1"/>
    <col min="14" max="14" width="31.7109375" customWidth="1"/>
    <col min="15" max="15" width="0" hidden="1" customWidth="1"/>
    <col min="16" max="16" width="1.7109375" customWidth="1"/>
    <col min="17" max="26" width="11.7109375" customWidth="1"/>
    <col min="27" max="27" width="0.140625" customWidth="1"/>
    <col min="28" max="59" width="9.140625" customWidth="1"/>
    <col min="60" max="60" width="1.7109375" customWidth="1"/>
  </cols>
  <sheetData>
    <row r="1" spans="1:59" ht="15.75" customHeight="1">
      <c r="F1" s="721" t="str">
        <f>IF(ACOMPANHAMENTO="BM","MEMÓRIA DE CÁLCULO","PLQ - PLANILHA DE LEVANTAMENTO DE QUANTIDADES")</f>
        <v>MEMÓRIA DE CÁLCULO</v>
      </c>
      <c r="G1" s="721"/>
      <c r="H1" s="721"/>
      <c r="I1" s="175"/>
      <c r="K1" s="175"/>
      <c r="L1" s="175"/>
      <c r="M1" s="176"/>
      <c r="N1" s="175"/>
      <c r="P1" s="175"/>
      <c r="Q1" s="678" t="s">
        <v>140</v>
      </c>
      <c r="R1" s="678"/>
      <c r="Y1" s="678" t="s">
        <v>140</v>
      </c>
      <c r="Z1" s="678"/>
    </row>
    <row r="2" spans="1:59" ht="15" customHeight="1">
      <c r="F2" s="722" t="str">
        <f>IF(ACOMPANHAMENTO="BM","","Memória de Cálculo")&amp;" - "&amp;import.recurso</f>
        <v xml:space="preserve"> - OGU</v>
      </c>
      <c r="G2" s="722"/>
      <c r="H2" s="722"/>
      <c r="I2" s="177"/>
      <c r="K2" s="177"/>
      <c r="L2" s="177"/>
      <c r="M2" s="178"/>
      <c r="N2" s="177"/>
      <c r="P2" s="177"/>
      <c r="Q2" s="679" t="s">
        <v>143</v>
      </c>
      <c r="R2" s="679"/>
      <c r="Y2" s="679" t="s">
        <v>143</v>
      </c>
      <c r="Z2" s="679"/>
    </row>
    <row r="3" spans="1:59" ht="12.75" customHeight="1">
      <c r="AB3" t="e">
        <f ca="1">ROUND(ROUND(OFFSET(#REF!,0,AB$13),15-13*ORÇAMENTO!$AF$7)*OFFSET(ORÇAMENTO!$W$15,ROW(#REF!)-ROW(AB$15),0),15-13*ORÇAMENTO!$AF$11)</f>
        <v>#REF!</v>
      </c>
      <c r="AC3" t="e">
        <f ca="1">ROUND(ROUND(OFFSET(#REF!,0,AC$13),15-13*ORÇAMENTO!$AF$7)*OFFSET(ORÇAMENTO!$W$15,ROW(#REF!)-ROW(AC$15),0),15-13*ORÇAMENTO!$AF$11)</f>
        <v>#REF!</v>
      </c>
      <c r="AD3" t="e">
        <f ca="1">ROUND(ROUND(OFFSET(#REF!,0,AD$13),15-13*ORÇAMENTO!$AF$7)*OFFSET(ORÇAMENTO!$W$15,ROW(#REF!)-ROW(AD$15),0),15-13*ORÇAMENTO!$AF$11)</f>
        <v>#REF!</v>
      </c>
      <c r="AE3" s="659" t="e">
        <f ca="1">SUM(AB3:AD3)-SUM(#REF!)</f>
        <v>#REF!</v>
      </c>
    </row>
    <row r="4" spans="1:59" ht="12.75" customHeight="1">
      <c r="E4" s="680" t="s">
        <v>202</v>
      </c>
      <c r="F4" s="680"/>
      <c r="G4" s="680" t="s">
        <v>442</v>
      </c>
      <c r="H4" s="680"/>
      <c r="I4" s="107" t="s">
        <v>146</v>
      </c>
      <c r="K4" s="179" t="s">
        <v>147</v>
      </c>
      <c r="L4" s="180"/>
      <c r="M4" s="180"/>
      <c r="N4" s="180"/>
      <c r="O4" s="180"/>
      <c r="P4" s="180"/>
      <c r="Q4" s="180"/>
      <c r="R4" s="181"/>
      <c r="S4" s="680" t="s">
        <v>146</v>
      </c>
      <c r="T4" s="680"/>
      <c r="U4" s="680" t="s">
        <v>147</v>
      </c>
      <c r="V4" s="680"/>
      <c r="W4" s="680"/>
      <c r="X4" s="680"/>
      <c r="Y4" s="680"/>
      <c r="Z4" s="680"/>
    </row>
    <row r="5" spans="1:59" ht="12.75" customHeight="1">
      <c r="E5" s="677" t="str">
        <f>Import.Apelido</f>
        <v>RECAPEAMENTO DE VIA PÚBLICA</v>
      </c>
      <c r="F5" s="677"/>
      <c r="G5" s="677" t="str" cm="1">
        <f t="array" ref="G5">Import.TransfereGOV</f>
        <v>965783/2024</v>
      </c>
      <c r="H5" s="677"/>
      <c r="I5" s="113" t="str">
        <f>Import.CR</f>
        <v>17405-2024</v>
      </c>
      <c r="K5" s="182" t="str">
        <f>Import.Proponente</f>
        <v>MUNICÍPIO DE PAINS</v>
      </c>
      <c r="L5" s="183"/>
      <c r="M5" s="125"/>
      <c r="N5" s="183"/>
      <c r="O5" s="183"/>
      <c r="P5" s="183"/>
      <c r="Q5" s="183"/>
      <c r="R5" s="114"/>
      <c r="S5" s="677" t="str">
        <f>Import.CR</f>
        <v>17405-2024</v>
      </c>
      <c r="T5" s="677"/>
      <c r="U5" s="677" t="str">
        <f>Import.Proponente</f>
        <v>MUNICÍPIO DE PAINS</v>
      </c>
      <c r="V5" s="677"/>
      <c r="W5" s="677"/>
      <c r="X5" s="677"/>
      <c r="Y5" s="677"/>
      <c r="Z5" s="677"/>
    </row>
    <row r="6" spans="1:59" ht="12.75" customHeight="1">
      <c r="T6" s="659" t="e">
        <f ca="1">AE3</f>
        <v>#REF!</v>
      </c>
      <c r="AB6" t="s">
        <v>251</v>
      </c>
      <c r="AM6" t="s">
        <v>252</v>
      </c>
      <c r="AX6" t="s">
        <v>253</v>
      </c>
    </row>
    <row r="7" spans="1:59" ht="12.75" hidden="1" customHeight="1"/>
    <row r="8" spans="1:59" ht="12.75" hidden="1" customHeight="1"/>
    <row r="9" spans="1:59" ht="12.75" hidden="1" customHeight="1"/>
    <row r="10" spans="1:59" ht="12.75" hidden="1" customHeight="1"/>
    <row r="11" spans="1:59" ht="12.75" hidden="1" customHeight="1"/>
    <row r="12" spans="1:59" ht="69.95" customHeight="1">
      <c r="A12" s="184">
        <f ca="1">IF(OFFSET(EVENTOS!$C$5,1,0)="Automática, conforme os agrupadores Nível 4 do Orçamento",4,IF(OFFSET(EVENTOS!$C$5,1,0)="Automática, conforme os agrupadores Nível 3 do Orçamento",3,IF(OFFSET(EVENTOS!$C$5,1,0)="Definir Manualmente","Manual",2)))</f>
        <v>2</v>
      </c>
      <c r="B12" s="9" t="s">
        <v>254</v>
      </c>
      <c r="H12" s="185"/>
      <c r="I12" s="186"/>
      <c r="J12" s="187" t="s">
        <v>255</v>
      </c>
      <c r="K12" s="188" t="s">
        <v>256</v>
      </c>
      <c r="L12" s="187" t="s">
        <v>255</v>
      </c>
      <c r="M12" s="189">
        <f>IF(ACOMPANHAMENTO="BM",0,COUNTIF(M15:M43,0))</f>
        <v>0</v>
      </c>
      <c r="N12" s="186" t="s">
        <v>257</v>
      </c>
      <c r="O12" s="190"/>
      <c r="P12" s="187" t="s">
        <v>255</v>
      </c>
      <c r="Q12" s="625"/>
      <c r="R12" s="190"/>
      <c r="S12" s="190"/>
      <c r="T12" s="190"/>
      <c r="U12" s="190"/>
      <c r="V12" s="190"/>
      <c r="W12" s="190"/>
      <c r="X12" s="190"/>
      <c r="Y12" s="190"/>
      <c r="Z12" s="191"/>
      <c r="AA12" s="187" t="s">
        <v>255</v>
      </c>
      <c r="AB12" s="192">
        <f ca="1">OFFSET($P$12,0,AB$13)</f>
        <v>0</v>
      </c>
      <c r="AC12" s="193">
        <f t="shared" ref="AC12:AK12" ca="1" si="0">OFFSET($P$12,0,AC$13)</f>
        <v>0</v>
      </c>
      <c r="AD12" s="193">
        <f t="shared" ca="1" si="0"/>
        <v>0</v>
      </c>
      <c r="AE12" s="193">
        <f t="shared" ca="1" si="0"/>
        <v>0</v>
      </c>
      <c r="AF12" s="193">
        <f t="shared" ca="1" si="0"/>
        <v>0</v>
      </c>
      <c r="AG12" s="193">
        <f t="shared" ca="1" si="0"/>
        <v>0</v>
      </c>
      <c r="AH12" s="193">
        <f t="shared" ca="1" si="0"/>
        <v>0</v>
      </c>
      <c r="AI12" s="193">
        <f t="shared" ca="1" si="0"/>
        <v>0</v>
      </c>
      <c r="AJ12" s="193">
        <f t="shared" ca="1" si="0"/>
        <v>0</v>
      </c>
      <c r="AK12" s="194">
        <f t="shared" ca="1" si="0"/>
        <v>0</v>
      </c>
      <c r="AM12" s="192">
        <f ca="1">OFFSET($P$12,0,AM$13)</f>
        <v>0</v>
      </c>
      <c r="AN12" s="193">
        <f t="shared" ref="AN12:AV12" ca="1" si="1">OFFSET($P$12,0,AN$13)</f>
        <v>0</v>
      </c>
      <c r="AO12" s="193">
        <f t="shared" ca="1" si="1"/>
        <v>0</v>
      </c>
      <c r="AP12" s="193">
        <f t="shared" ca="1" si="1"/>
        <v>0</v>
      </c>
      <c r="AQ12" s="193">
        <f t="shared" ca="1" si="1"/>
        <v>0</v>
      </c>
      <c r="AR12" s="193">
        <f t="shared" ca="1" si="1"/>
        <v>0</v>
      </c>
      <c r="AS12" s="193">
        <f t="shared" ca="1" si="1"/>
        <v>0</v>
      </c>
      <c r="AT12" s="193">
        <f t="shared" ca="1" si="1"/>
        <v>0</v>
      </c>
      <c r="AU12" s="193">
        <f t="shared" ca="1" si="1"/>
        <v>0</v>
      </c>
      <c r="AV12" s="194">
        <f t="shared" ca="1" si="1"/>
        <v>0</v>
      </c>
      <c r="AX12" s="192">
        <f ca="1">OFFSET($P$12,0,AX$13)</f>
        <v>0</v>
      </c>
      <c r="AY12" s="193">
        <f t="shared" ref="AY12:BG12" ca="1" si="2">OFFSET($P$12,0,AY$13)</f>
        <v>0</v>
      </c>
      <c r="AZ12" s="193">
        <f t="shared" ca="1" si="2"/>
        <v>0</v>
      </c>
      <c r="BA12" s="193">
        <f t="shared" ca="1" si="2"/>
        <v>0</v>
      </c>
      <c r="BB12" s="193">
        <f t="shared" ca="1" si="2"/>
        <v>0</v>
      </c>
      <c r="BC12" s="193">
        <f t="shared" ca="1" si="2"/>
        <v>0</v>
      </c>
      <c r="BD12" s="193">
        <f t="shared" ca="1" si="2"/>
        <v>0</v>
      </c>
      <c r="BE12" s="193">
        <f t="shared" ca="1" si="2"/>
        <v>0</v>
      </c>
      <c r="BF12" s="193">
        <f t="shared" ca="1" si="2"/>
        <v>0</v>
      </c>
      <c r="BG12" s="194">
        <f t="shared" ca="1" si="2"/>
        <v>0</v>
      </c>
    </row>
    <row r="13" spans="1:59" ht="12.75" customHeight="1">
      <c r="A13" s="195" t="s">
        <v>258</v>
      </c>
      <c r="B13" s="9" t="s">
        <v>254</v>
      </c>
      <c r="D13" s="132" t="s">
        <v>229</v>
      </c>
      <c r="E13" s="132" t="s">
        <v>231</v>
      </c>
      <c r="F13" s="132" t="s">
        <v>234</v>
      </c>
      <c r="G13" s="134" t="s">
        <v>235</v>
      </c>
      <c r="H13" s="132" t="s">
        <v>203</v>
      </c>
      <c r="I13" s="132" t="s">
        <v>259</v>
      </c>
      <c r="K13" s="132" t="s">
        <v>260</v>
      </c>
      <c r="L13" s="187"/>
      <c r="M13" s="132" t="s">
        <v>261</v>
      </c>
      <c r="N13" s="132" t="s">
        <v>262</v>
      </c>
      <c r="O13" s="196" t="e">
        <f ca="1">OFFSET(O13,0,-1)+1</f>
        <v>#VALUE!</v>
      </c>
      <c r="Q13" s="197">
        <f t="shared" ref="Q13:Z13" ca="1" si="3">OFFSET(Q13,0,-1)+1</f>
        <v>1</v>
      </c>
      <c r="R13" s="196">
        <f t="shared" ca="1" si="3"/>
        <v>2</v>
      </c>
      <c r="S13" s="196">
        <f t="shared" ca="1" si="3"/>
        <v>3</v>
      </c>
      <c r="T13" s="196">
        <f t="shared" ca="1" si="3"/>
        <v>4</v>
      </c>
      <c r="U13" s="196">
        <f t="shared" ca="1" si="3"/>
        <v>5</v>
      </c>
      <c r="V13" s="196">
        <f t="shared" ca="1" si="3"/>
        <v>6</v>
      </c>
      <c r="W13" s="196">
        <f t="shared" ca="1" si="3"/>
        <v>7</v>
      </c>
      <c r="X13" s="196">
        <f t="shared" ca="1" si="3"/>
        <v>8</v>
      </c>
      <c r="Y13" s="196">
        <f t="shared" ca="1" si="3"/>
        <v>9</v>
      </c>
      <c r="Z13" s="198">
        <f t="shared" ca="1" si="3"/>
        <v>10</v>
      </c>
      <c r="AB13" s="138">
        <f t="shared" ref="AB13:BG13" ca="1" si="4">OFFSET(AB13,0,-1)+1</f>
        <v>1</v>
      </c>
      <c r="AC13" s="199">
        <f t="shared" ca="1" si="4"/>
        <v>2</v>
      </c>
      <c r="AD13" s="199">
        <f t="shared" ca="1" si="4"/>
        <v>3</v>
      </c>
      <c r="AE13" s="199">
        <f t="shared" ca="1" si="4"/>
        <v>4</v>
      </c>
      <c r="AF13" s="199">
        <f t="shared" ca="1" si="4"/>
        <v>5</v>
      </c>
      <c r="AG13" s="199">
        <f t="shared" ca="1" si="4"/>
        <v>6</v>
      </c>
      <c r="AH13" s="199">
        <f t="shared" ca="1" si="4"/>
        <v>7</v>
      </c>
      <c r="AI13" s="199">
        <f t="shared" ca="1" si="4"/>
        <v>8</v>
      </c>
      <c r="AJ13" s="199">
        <f t="shared" ca="1" si="4"/>
        <v>9</v>
      </c>
      <c r="AK13" s="200">
        <f t="shared" ca="1" si="4"/>
        <v>10</v>
      </c>
      <c r="AM13" s="138">
        <f t="shared" ca="1" si="4"/>
        <v>1</v>
      </c>
      <c r="AN13" s="199">
        <f t="shared" ca="1" si="4"/>
        <v>2</v>
      </c>
      <c r="AO13" s="199">
        <f t="shared" ca="1" si="4"/>
        <v>3</v>
      </c>
      <c r="AP13" s="199">
        <f t="shared" ca="1" si="4"/>
        <v>4</v>
      </c>
      <c r="AQ13" s="199">
        <f t="shared" ca="1" si="4"/>
        <v>5</v>
      </c>
      <c r="AR13" s="199">
        <f t="shared" ca="1" si="4"/>
        <v>6</v>
      </c>
      <c r="AS13" s="199">
        <f t="shared" ca="1" si="4"/>
        <v>7</v>
      </c>
      <c r="AT13" s="199">
        <f t="shared" ca="1" si="4"/>
        <v>8</v>
      </c>
      <c r="AU13" s="199">
        <f t="shared" ca="1" si="4"/>
        <v>9</v>
      </c>
      <c r="AV13" s="200">
        <f t="shared" ca="1" si="4"/>
        <v>10</v>
      </c>
      <c r="AX13" s="138">
        <f t="shared" ca="1" si="4"/>
        <v>1</v>
      </c>
      <c r="AY13" s="199">
        <f t="shared" ca="1" si="4"/>
        <v>2</v>
      </c>
      <c r="AZ13" s="199">
        <f t="shared" ca="1" si="4"/>
        <v>3</v>
      </c>
      <c r="BA13" s="199">
        <f t="shared" ca="1" si="4"/>
        <v>4</v>
      </c>
      <c r="BB13" s="199">
        <f t="shared" ca="1" si="4"/>
        <v>5</v>
      </c>
      <c r="BC13" s="199">
        <f t="shared" ca="1" si="4"/>
        <v>6</v>
      </c>
      <c r="BD13" s="199">
        <f t="shared" ca="1" si="4"/>
        <v>7</v>
      </c>
      <c r="BE13" s="199">
        <f t="shared" ca="1" si="4"/>
        <v>8</v>
      </c>
      <c r="BF13" s="199">
        <f t="shared" ca="1" si="4"/>
        <v>9</v>
      </c>
      <c r="BG13" s="200">
        <f t="shared" ca="1" si="4"/>
        <v>10</v>
      </c>
    </row>
    <row r="14" spans="1:59" ht="12.75" hidden="1">
      <c r="A14" s="9" t="str">
        <f ca="1">IF(AUTOEVENTO="Manual",IF(K14&lt;&gt;"",MIN(VALUE(LEFT(K14,FIND(".",K14)-1)),COUNTA(EVENTOS.Lista)),0),IF(OR($B14&gt;AUTOEVENTO,$B14="S",$B14=0),SUBSTITUTE(OFFSET($A14,-1,0),IF($D14="Serviço",".",""),""),ROW(A14)-ROW($A$15)&amp;"."))</f>
        <v>AUTOEVENTO</v>
      </c>
      <c r="B14" s="9" t="str">
        <f ca="1">OFFSET(ORÇAMENTO!C$15,ROW(B14)-ROW(B$15),0)</f>
        <v>S</v>
      </c>
      <c r="C14" s="9" t="str">
        <f ca="1">OFFSET(ORÇAMENTO!L$15,ROW(C14)-ROW(C$15),0)</f>
        <v/>
      </c>
      <c r="D14" s="141" t="str">
        <f ca="1">OFFSET(ORÇAMENTO!N$15,ROW(D14)-ROW(D$15),0)</f>
        <v>Serviço</v>
      </c>
      <c r="E14" s="201" t="str">
        <f ca="1">OFFSET(ORÇAMENTO!O$15,ROW(E14)-ROW(E$15),0)</f>
        <v>-</v>
      </c>
      <c r="F14" s="202" t="str">
        <f ca="1">OFFSET(ORÇAMENTO!R$15,ROW(F14)-ROW(F$15),0)</f>
        <v>(abra o arquivo 'Referência 07-2024.xlsm)</v>
      </c>
      <c r="G14" s="203" t="str">
        <f ca="1">IF($D14&lt;&gt;"Serviço","",OFFSET(ORÇAMENTO!S$15,ROW(G14)-ROW(G$15),0))</f>
        <v>-</v>
      </c>
      <c r="H14" s="147">
        <f ca="1">IF($D14&lt;&gt;"Serviço",0,IF(ACOMPANHAMENTO="BM",ROUND(OFFSET(ORÇAMENTO!AJ$15,ROW(H14)-ROW(H$15),0),15-13*ORÇAMENTO!$AF$7),SUMPRODUCT(($Q$12:$AA$12&lt;&gt;"")*ROUND($Q14:$AA14,15-13*ORÇAMENTO!$AF$7))))</f>
        <v>0</v>
      </c>
      <c r="I14" s="645"/>
      <c r="K14" s="204"/>
      <c r="L14" s="205" t="s">
        <v>255</v>
      </c>
      <c r="M14" s="206" t="str">
        <f ca="1">IF($D14&lt;&gt;"Serviço","",IF(AUTOEVENTO="manual",$A14,IF(ISERROR(MATCH($A14,$A$15:OFFSET($A14,-1,0),0)),MAX($M$15:OFFSET(M14,-1,0))+1,INDEX($M$15:OFFSET(M14,-1,0),MATCH($A14,$A$15:OFFSET($A14,-1,0),0)))))</f>
        <v># Evento</v>
      </c>
      <c r="N14" s="207" t="e">
        <f ca="1">IF($D14&lt;&gt;"Serviço","",IF(AUTOEVENTO="Manual",IF($A14=0,"&lt;-- defina o número do agrupador",OFFSET(EVENTOS!$D$14,$A14,0)),OFFSET($F$15,$A14,0)))</f>
        <v>#VALUE!</v>
      </c>
      <c r="O14" s="208"/>
      <c r="Q14" s="208"/>
      <c r="R14" s="209"/>
      <c r="S14" s="209"/>
      <c r="T14" s="209"/>
      <c r="U14" s="209"/>
      <c r="V14" s="209"/>
      <c r="W14" s="209"/>
      <c r="X14" s="209"/>
      <c r="Y14" s="209"/>
      <c r="Z14" s="210"/>
      <c r="AB14" s="626">
        <f ca="1">IF(AND($D14="Serviço",AB$12&lt;&gt;0,$H14&gt;0,OR(AUTOEVENTO&lt;&gt;"manual",$M14&lt;&gt;1)),IF(Import.TipoArredondamento&lt;&gt;"TransfereGOV",ROUND(OFFSET($P14,0,AB$13),15-13*ORÇAMENTO!$AF$7)/$H14*OFFSET(ORÇAMENTO!$X$15,ROW(AB14)-ROW(AB$15),0),ROUND(ROUND(OFFSET($P14,0,AB$13),15-13*ORÇAMENTO!$AF$7)*OFFSET(ORÇAMENTO!$W$15,ROW(AB14)-ROW(AB$15),0),15-13*ORÇAMENTO!$AF$11)),0)</f>
        <v>0</v>
      </c>
      <c r="AC14" s="627">
        <f ca="1">IF(AND($D14="Serviço",AC$12&lt;&gt;0,$H14&gt;0,OR(AUTOEVENTO&lt;&gt;"manual",$M14&lt;&gt;1)),IF(Import.TipoArredondamento&lt;&gt;"TransfereGOV",ROUND(OFFSET($P14,0,AC$13),15-13*ORÇAMENTO!$AF$7)/$H14*OFFSET(ORÇAMENTO!$X$15,ROW(AC14)-ROW(AC$15),0),ROUND(ROUND(OFFSET($P14,0,AC$13),15-13*ORÇAMENTO!$AF$7)*OFFSET(ORÇAMENTO!$W$15,ROW(AC14)-ROW(AC$15),0),15-13*ORÇAMENTO!$AF$11)),0)</f>
        <v>0</v>
      </c>
      <c r="AD14" s="627">
        <f ca="1">IF(AND($D14="Serviço",AD$12&lt;&gt;0,$H14&gt;0,OR(AUTOEVENTO&lt;&gt;"manual",$M14&lt;&gt;1)),IF(Import.TipoArredondamento&lt;&gt;"TransfereGOV",ROUND(OFFSET($P14,0,AD$13),15-13*ORÇAMENTO!$AF$7)/$H14*OFFSET(ORÇAMENTO!$X$15,ROW(AD14)-ROW(AD$15),0),ROUND(ROUND(OFFSET($P14,0,AD$13),15-13*ORÇAMENTO!$AF$7)*OFFSET(ORÇAMENTO!$W$15,ROW(AD14)-ROW(AD$15),0),15-13*ORÇAMENTO!$AF$11)),0)</f>
        <v>0</v>
      </c>
      <c r="AE14" s="627">
        <f ca="1">IF(AND($D14="Serviço",AE$12&lt;&gt;0,$H14&gt;0,OR(AUTOEVENTO&lt;&gt;"manual",$M14&lt;&gt;1)),IF(Import.TipoArredondamento&lt;&gt;"TransfereGOV",ROUND(OFFSET($P14,0,AE$13),15-13*ORÇAMENTO!$AF$7)/$H14*OFFSET(ORÇAMENTO!$X$15,ROW(AE14)-ROW(AE$15),0),ROUND(ROUND(OFFSET($P14,0,AE$13),15-13*ORÇAMENTO!$AF$7)*OFFSET(ORÇAMENTO!$W$15,ROW(AE14)-ROW(AE$15),0),15-13*ORÇAMENTO!$AF$11)),0)</f>
        <v>0</v>
      </c>
      <c r="AF14" s="627">
        <f ca="1">IF(AND($D14="Serviço",AF$12&lt;&gt;0,$H14&gt;0,OR(AUTOEVENTO&lt;&gt;"manual",$M14&lt;&gt;1)),IF(Import.TipoArredondamento&lt;&gt;"TransfereGOV",ROUND(OFFSET($P14,0,AF$13),15-13*ORÇAMENTO!$AF$7)/$H14*OFFSET(ORÇAMENTO!$X$15,ROW(AF14)-ROW(AF$15),0),ROUND(ROUND(OFFSET($P14,0,AF$13),15-13*ORÇAMENTO!$AF$7)*OFFSET(ORÇAMENTO!$W$15,ROW(AF14)-ROW(AF$15),0),15-13*ORÇAMENTO!$AF$11)),0)</f>
        <v>0</v>
      </c>
      <c r="AG14" s="627">
        <f ca="1">IF(AND($D14="Serviço",AG$12&lt;&gt;0,$H14&gt;0,OR(AUTOEVENTO&lt;&gt;"manual",$M14&lt;&gt;1)),IF(Import.TipoArredondamento&lt;&gt;"TransfereGOV",ROUND(OFFSET($P14,0,AG$13),15-13*ORÇAMENTO!$AF$7)/$H14*OFFSET(ORÇAMENTO!$X$15,ROW(AG14)-ROW(AG$15),0),ROUND(ROUND(OFFSET($P14,0,AG$13),15-13*ORÇAMENTO!$AF$7)*OFFSET(ORÇAMENTO!$W$15,ROW(AG14)-ROW(AG$15),0),15-13*ORÇAMENTO!$AF$11)),0)</f>
        <v>0</v>
      </c>
      <c r="AH14" s="627">
        <f ca="1">IF(AND($D14="Serviço",AH$12&lt;&gt;0,$H14&gt;0,OR(AUTOEVENTO&lt;&gt;"manual",$M14&lt;&gt;1)),IF(Import.TipoArredondamento&lt;&gt;"TransfereGOV",ROUND(OFFSET($P14,0,AH$13),15-13*ORÇAMENTO!$AF$7)/$H14*OFFSET(ORÇAMENTO!$X$15,ROW(AH14)-ROW(AH$15),0),ROUND(ROUND(OFFSET($P14,0,AH$13),15-13*ORÇAMENTO!$AF$7)*OFFSET(ORÇAMENTO!$W$15,ROW(AH14)-ROW(AH$15),0),15-13*ORÇAMENTO!$AF$11)),0)</f>
        <v>0</v>
      </c>
      <c r="AI14" s="627">
        <f ca="1">IF(AND($D14="Serviço",AI$12&lt;&gt;0,$H14&gt;0,OR(AUTOEVENTO&lt;&gt;"manual",$M14&lt;&gt;1)),IF(Import.TipoArredondamento&lt;&gt;"TransfereGOV",ROUND(OFFSET($P14,0,AI$13),15-13*ORÇAMENTO!$AF$7)/$H14*OFFSET(ORÇAMENTO!$X$15,ROW(AI14)-ROW(AI$15),0),ROUND(ROUND(OFFSET($P14,0,AI$13),15-13*ORÇAMENTO!$AF$7)*OFFSET(ORÇAMENTO!$W$15,ROW(AI14)-ROW(AI$15),0),15-13*ORÇAMENTO!$AF$11)),0)</f>
        <v>0</v>
      </c>
      <c r="AJ14" s="627">
        <f ca="1">IF(AND($D14="Serviço",AJ$12&lt;&gt;0,$H14&gt;0,OR(AUTOEVENTO&lt;&gt;"manual",$M14&lt;&gt;1)),IF(Import.TipoArredondamento&lt;&gt;"TransfereGOV",ROUND(OFFSET($P14,0,AJ$13),15-13*ORÇAMENTO!$AF$7)/$H14*OFFSET(ORÇAMENTO!$X$15,ROW(AJ14)-ROW(AJ$15),0),ROUND(ROUND(OFFSET($P14,0,AJ$13),15-13*ORÇAMENTO!$AF$7)*OFFSET(ORÇAMENTO!$W$15,ROW(AJ14)-ROW(AJ$15),0),15-13*ORÇAMENTO!$AF$11)),0)</f>
        <v>0</v>
      </c>
      <c r="AK14" s="628">
        <f ca="1">IF(AND($D14="Serviço",AK$12&lt;&gt;0,$H14&gt;0,OR(AUTOEVENTO&lt;&gt;"manual",$M14&lt;&gt;1)),IF(Import.TipoArredondamento&lt;&gt;"TransfereGOV",ROUND(OFFSET($P14,0,AK$13),15-13*ORÇAMENTO!$AF$7)/$H14*OFFSET(ORÇAMENTO!$X$15,ROW(AK14)-ROW(AK$15),0),ROUND(ROUND(OFFSET($P14,0,AK$13),15-13*ORÇAMENTO!$AF$7)*OFFSET(ORÇAMENTO!$W$15,ROW(AK14)-ROW(AK$15),0),15-13*ORÇAMENTO!$AF$11)),0)</f>
        <v>0</v>
      </c>
      <c r="AM14" s="211" t="e">
        <f ca="1">IF($D14&lt;&gt;"Serviço",0,IF(AND(AUTOEVENTO="Manual",$M14=1),0,IF(OFFSET(CRONOPLE!$F$14,$M14,AM$13)="",10^12,OFFSET(CRONOPLE!$F$14,$M14,AM$13))))</f>
        <v>#VALUE!</v>
      </c>
      <c r="AN14" s="211" t="e">
        <f ca="1">IF($D14&lt;&gt;"Serviço",0,IF(AND(AUTOEVENTO="Manual",$M14=1),0,IF(OFFSET(CRONOPLE!$F$14,$M14,AN$13)="",10^12,OFFSET(CRONOPLE!$F$14,$M14,AN$13))))</f>
        <v>#VALUE!</v>
      </c>
      <c r="AO14" s="211" t="e">
        <f ca="1">IF($D14&lt;&gt;"Serviço",0,IF(AND(AUTOEVENTO="Manual",$M14=1),0,IF(OFFSET(CRONOPLE!$F$14,$M14,AO$13)="",10^12,OFFSET(CRONOPLE!$F$14,$M14,AO$13))))</f>
        <v>#VALUE!</v>
      </c>
      <c r="AP14" s="211" t="e">
        <f ca="1">IF($D14&lt;&gt;"Serviço",0,IF(AND(AUTOEVENTO="Manual",$M14=1),0,IF(OFFSET(CRONOPLE!$F$14,$M14,AP$13)="",10^12,OFFSET(CRONOPLE!$F$14,$M14,AP$13))))</f>
        <v>#VALUE!</v>
      </c>
      <c r="AQ14" s="211" t="e">
        <f ca="1">IF($D14&lt;&gt;"Serviço",0,IF(AND(AUTOEVENTO="Manual",$M14=1),0,IF(OFFSET(CRONOPLE!$F$14,$M14,AQ$13)="",10^12,OFFSET(CRONOPLE!$F$14,$M14,AQ$13))))</f>
        <v>#VALUE!</v>
      </c>
      <c r="AR14" s="211" t="e">
        <f ca="1">IF($D14&lt;&gt;"Serviço",0,IF(AND(AUTOEVENTO="Manual",$M14=1),0,IF(OFFSET(CRONOPLE!$F$14,$M14,AR$13)="",10^12,OFFSET(CRONOPLE!$F$14,$M14,AR$13))))</f>
        <v>#VALUE!</v>
      </c>
      <c r="AS14" s="211" t="e">
        <f ca="1">IF($D14&lt;&gt;"Serviço",0,IF(AND(AUTOEVENTO="Manual",$M14=1),0,IF(OFFSET(CRONOPLE!$F$14,$M14,AS$13)="",10^12,OFFSET(CRONOPLE!$F$14,$M14,AS$13))))</f>
        <v>#VALUE!</v>
      </c>
      <c r="AT14" s="211" t="e">
        <f ca="1">IF($D14&lt;&gt;"Serviço",0,IF(AND(AUTOEVENTO="Manual",$M14=1),0,IF(OFFSET(CRONOPLE!$F$14,$M14,AT$13)="",10^12,OFFSET(CRONOPLE!$F$14,$M14,AT$13))))</f>
        <v>#VALUE!</v>
      </c>
      <c r="AU14" s="211" t="e">
        <f ca="1">IF($D14&lt;&gt;"Serviço",0,IF(AND(AUTOEVENTO="Manual",$M14=1),0,IF(OFFSET(CRONOPLE!$F$14,$M14,AU$13)="",10^12,OFFSET(CRONOPLE!$F$14,$M14,AU$13))))</f>
        <v>#VALUE!</v>
      </c>
      <c r="AV14" s="211" t="e">
        <f ca="1">IF($D14&lt;&gt;"Serviço",0,IF(AND(AUTOEVENTO="Manual",$M14=1),0,IF(OFFSET(CRONOPLE!$F$14,$M14,AV$13)="",10^12,OFFSET(CRONOPLE!$F$14,$M14,AV$13))))</f>
        <v>#VALUE!</v>
      </c>
      <c r="AX14" s="212">
        <f ca="1">IF($D14&lt;&gt;"Serviço",0,IF(OR(AND(AUTOEVENTO="Manual",$M14=1),$M14&gt;(ROW(PLE.lastrow)-ROW(PLE.firstrow))),0,IF(OFFSET(PLE!$G$14,$M14,AX$13)="",10^12,OFFSET(PLE!$G$14,$M14,AX$13))))</f>
        <v>0</v>
      </c>
      <c r="AY14" s="212">
        <f ca="1">IF($D14&lt;&gt;"Serviço",0,IF(OR(AND(AUTOEVENTO="Manual",$M14=1),$M14&gt;(ROW(PLE.lastrow)-ROW(PLE.firstrow))),0,IF(OFFSET(PLE!$G$14,$M14,AY$13)="",10^12,OFFSET(PLE!$G$14,$M14,AY$13))))</f>
        <v>0</v>
      </c>
      <c r="AZ14" s="212">
        <f ca="1">IF($D14&lt;&gt;"Serviço",0,IF(OR(AND(AUTOEVENTO="Manual",$M14=1),$M14&gt;(ROW(PLE.lastrow)-ROW(PLE.firstrow))),0,IF(OFFSET(PLE!$G$14,$M14,AZ$13)="",10^12,OFFSET(PLE!$G$14,$M14,AZ$13))))</f>
        <v>0</v>
      </c>
      <c r="BA14" s="212">
        <f ca="1">IF($D14&lt;&gt;"Serviço",0,IF(OR(AND(AUTOEVENTO="Manual",$M14=1),$M14&gt;(ROW(PLE.lastrow)-ROW(PLE.firstrow))),0,IF(OFFSET(PLE!$G$14,$M14,BA$13)="",10^12,OFFSET(PLE!$G$14,$M14,BA$13))))</f>
        <v>0</v>
      </c>
      <c r="BB14" s="212">
        <f ca="1">IF($D14&lt;&gt;"Serviço",0,IF(OR(AND(AUTOEVENTO="Manual",$M14=1),$M14&gt;(ROW(PLE.lastrow)-ROW(PLE.firstrow))),0,IF(OFFSET(PLE!$G$14,$M14,BB$13)="",10^12,OFFSET(PLE!$G$14,$M14,BB$13))))</f>
        <v>0</v>
      </c>
      <c r="BC14" s="212">
        <f ca="1">IF($D14&lt;&gt;"Serviço",0,IF(OR(AND(AUTOEVENTO="Manual",$M14=1),$M14&gt;(ROW(PLE.lastrow)-ROW(PLE.firstrow))),0,IF(OFFSET(PLE!$G$14,$M14,BC$13)="",10^12,OFFSET(PLE!$G$14,$M14,BC$13))))</f>
        <v>0</v>
      </c>
      <c r="BD14" s="212">
        <f ca="1">IF($D14&lt;&gt;"Serviço",0,IF(OR(AND(AUTOEVENTO="Manual",$M14=1),$M14&gt;(ROW(PLE.lastrow)-ROW(PLE.firstrow))),0,IF(OFFSET(PLE!$G$14,$M14,BD$13)="",10^12,OFFSET(PLE!$G$14,$M14,BD$13))))</f>
        <v>0</v>
      </c>
      <c r="BE14" s="212">
        <f ca="1">IF($D14&lt;&gt;"Serviço",0,IF(OR(AND(AUTOEVENTO="Manual",$M14=1),$M14&gt;(ROW(PLE.lastrow)-ROW(PLE.firstrow))),0,IF(OFFSET(PLE!$G$14,$M14,BE$13)="",10^12,OFFSET(PLE!$G$14,$M14,BE$13))))</f>
        <v>0</v>
      </c>
      <c r="BF14" s="212">
        <f ca="1">IF($D14&lt;&gt;"Serviço",0,IF(OR(AND(AUTOEVENTO="Manual",$M14=1),$M14&gt;(ROW(PLE.lastrow)-ROW(PLE.firstrow))),0,IF(OFFSET(PLE!$G$14,$M14,BF$13)="",10^12,OFFSET(PLE!$G$14,$M14,BF$13))))</f>
        <v>0</v>
      </c>
      <c r="BG14" s="212">
        <f ca="1">IF($D14&lt;&gt;"Serviço",0,IF(OR(AND(AUTOEVENTO="Manual",$M14=1),$M14&gt;(ROW(PLE.lastrow)-ROW(PLE.firstrow))),0,IF(OFFSET(PLE!$G$14,$M14,BG$13)="",10^12,OFFSET(PLE!$G$14,$M14,BG$13))))</f>
        <v>0</v>
      </c>
    </row>
    <row r="15" spans="1:59" ht="12.75" customHeight="1">
      <c r="B15" s="9" t="str">
        <f ca="1">OFFSET(ORÇAMENTO!C$15,ROW(B15)-ROW(B$15),0)</f>
        <v>L</v>
      </c>
      <c r="C15" s="9" t="str">
        <f ca="1">OFFSET(ORÇAMENTO!L$15,ROW(C15)-ROW(C$15),0)</f>
        <v>F</v>
      </c>
      <c r="D15" s="156" t="str">
        <f>IF(TIPOORCAMENTO="LICITADO","CTEF","LOTE")</f>
        <v>LOTE</v>
      </c>
      <c r="E15" s="723" t="str">
        <f>Import.DescLote</f>
        <v>RECAPEAMENDO DA ESTRADA MUNICIPAL SEBASTIÃO MANECA</v>
      </c>
      <c r="F15" s="723"/>
      <c r="G15" s="723"/>
      <c r="H15" s="723"/>
      <c r="I15" s="646"/>
      <c r="K15" s="213"/>
      <c r="L15" s="205" t="s">
        <v>255</v>
      </c>
      <c r="M15" s="214">
        <f ca="1">IF(AUTOEVENTO="MANUAL",0,1)</f>
        <v>1</v>
      </c>
      <c r="N15" s="215" t="s">
        <v>263</v>
      </c>
      <c r="O15" s="216" t="e">
        <f ca="1">OFFSET($AA$15,0,O$13)</f>
        <v>#VALUE!</v>
      </c>
      <c r="Q15" s="217">
        <f t="shared" ref="Q15:Z15" ca="1" si="5">OFFSET($AA$15,0,Q$13)</f>
        <v>0</v>
      </c>
      <c r="R15" s="216">
        <f t="shared" ca="1" si="5"/>
        <v>0</v>
      </c>
      <c r="S15" s="216">
        <f t="shared" ca="1" si="5"/>
        <v>0</v>
      </c>
      <c r="T15" s="216">
        <f t="shared" ca="1" si="5"/>
        <v>0</v>
      </c>
      <c r="U15" s="216">
        <f t="shared" ca="1" si="5"/>
        <v>0</v>
      </c>
      <c r="V15" s="216">
        <f t="shared" ca="1" si="5"/>
        <v>0</v>
      </c>
      <c r="W15" s="216">
        <f t="shared" ca="1" si="5"/>
        <v>0</v>
      </c>
      <c r="X15" s="216">
        <f t="shared" ca="1" si="5"/>
        <v>0</v>
      </c>
      <c r="Y15" s="216">
        <f t="shared" ca="1" si="5"/>
        <v>0</v>
      </c>
      <c r="Z15" s="218">
        <f t="shared" ca="1" si="5"/>
        <v>0</v>
      </c>
      <c r="AB15" s="219">
        <f ca="1">ROUND(SUM(OFFSET(AB$15,1,0):AB$43),2)</f>
        <v>0</v>
      </c>
      <c r="AC15" s="219">
        <f ca="1">SUM(OFFSET(AC$15,1,0):AC$43)</f>
        <v>0</v>
      </c>
      <c r="AD15" s="219">
        <f ca="1">SUM(OFFSET(AD$15,1,0):AD$43)</f>
        <v>0</v>
      </c>
      <c r="AE15" s="219">
        <f ca="1">SUM(OFFSET(AE$15,1,0):AE$43)</f>
        <v>0</v>
      </c>
      <c r="AF15" s="219">
        <f ca="1">SUM(OFFSET(AF$15,1,0):AF$43)</f>
        <v>0</v>
      </c>
      <c r="AG15" s="219">
        <f ca="1">SUM(OFFSET(AG$15,1,0):AG$43)</f>
        <v>0</v>
      </c>
      <c r="AH15" s="219">
        <f ca="1">SUM(OFFSET(AH$15,1,0):AH$43)</f>
        <v>0</v>
      </c>
      <c r="AI15" s="219">
        <f ca="1">SUM(OFFSET(AI$15,1,0):AI$43)</f>
        <v>0</v>
      </c>
      <c r="AJ15" s="219">
        <f ca="1">SUM(OFFSET(AJ$15,1,0):AJ$43)</f>
        <v>0</v>
      </c>
      <c r="AK15" s="219">
        <f ca="1">SUM(OFFSET(AK$15,1,0):AK$43)</f>
        <v>0</v>
      </c>
      <c r="AM15" s="220">
        <f>10^12</f>
        <v>1000000000000</v>
      </c>
      <c r="AN15" s="220">
        <f t="shared" ref="AN15:AV15" si="6">10^12</f>
        <v>1000000000000</v>
      </c>
      <c r="AO15" s="220">
        <f t="shared" si="6"/>
        <v>1000000000000</v>
      </c>
      <c r="AP15" s="220">
        <f t="shared" si="6"/>
        <v>1000000000000</v>
      </c>
      <c r="AQ15" s="220">
        <f t="shared" si="6"/>
        <v>1000000000000</v>
      </c>
      <c r="AR15" s="220">
        <f t="shared" si="6"/>
        <v>1000000000000</v>
      </c>
      <c r="AS15" s="220">
        <f t="shared" si="6"/>
        <v>1000000000000</v>
      </c>
      <c r="AT15" s="220">
        <f t="shared" si="6"/>
        <v>1000000000000</v>
      </c>
      <c r="AU15" s="220">
        <f t="shared" si="6"/>
        <v>1000000000000</v>
      </c>
      <c r="AV15" s="220">
        <f t="shared" si="6"/>
        <v>1000000000000</v>
      </c>
      <c r="AX15" s="220">
        <f t="shared" ref="AX15:BG15" si="7">10^12</f>
        <v>1000000000000</v>
      </c>
      <c r="AY15" s="220">
        <f t="shared" si="7"/>
        <v>1000000000000</v>
      </c>
      <c r="AZ15" s="220">
        <f t="shared" si="7"/>
        <v>1000000000000</v>
      </c>
      <c r="BA15" s="220">
        <f t="shared" si="7"/>
        <v>1000000000000</v>
      </c>
      <c r="BB15" s="220">
        <f t="shared" si="7"/>
        <v>1000000000000</v>
      </c>
      <c r="BC15" s="220">
        <f t="shared" si="7"/>
        <v>1000000000000</v>
      </c>
      <c r="BD15" s="220">
        <f t="shared" si="7"/>
        <v>1000000000000</v>
      </c>
      <c r="BE15" s="220">
        <f t="shared" si="7"/>
        <v>1000000000000</v>
      </c>
      <c r="BF15" s="220">
        <f t="shared" si="7"/>
        <v>1000000000000</v>
      </c>
      <c r="BG15" s="220">
        <f t="shared" si="7"/>
        <v>1000000000000</v>
      </c>
    </row>
    <row r="16" spans="1:59" ht="12.75">
      <c r="A16" s="9" t="str">
        <f t="shared" ref="A16:A39" ca="1" si="8">IF(AUTOEVENTO="Manual",IF(K16&lt;&gt;"",MIN(VALUE(LEFT(K16,FIND(".",K16)-1)),COUNTA(EVENTOS.Lista)),0),IF(OR($B16&gt;AUTOEVENTO,$B16="S",$B16=0),SUBSTITUTE(OFFSET($A16,-1,0),IF($D16="Serviço",".",""),""),ROW(A16)-ROW($A$15)&amp;"."))</f>
        <v>1.</v>
      </c>
      <c r="B16" s="9">
        <f ca="1">OFFSET(ORÇAMENTO!C$15,ROW(B16)-ROW(B$15),0)</f>
        <v>1</v>
      </c>
      <c r="C16" s="9" t="str">
        <f ca="1">OFFSET(ORÇAMENTO!L$15,ROW(C16)-ROW(C$15),0)</f>
        <v>F</v>
      </c>
      <c r="D16" s="141" t="str">
        <f ca="1">OFFSET(ORÇAMENTO!N$15,ROW(D16)-ROW(D$15),0)</f>
        <v>Meta</v>
      </c>
      <c r="E16" s="201" t="str">
        <f ca="1">OFFSET(ORÇAMENTO!O$15,ROW(E16)-ROW(E$15),0)</f>
        <v>1.</v>
      </c>
      <c r="F16" s="202" t="str">
        <f ca="1">OFFSET(ORÇAMENTO!R$15,ROW(F16)-ROW(F$15),0)</f>
        <v>RECAPEAMENTO DE VIA PÚBLICA</v>
      </c>
      <c r="G16" s="203" t="str">
        <f ca="1">IF($D16&lt;&gt;"Serviço","",OFFSET(ORÇAMENTO!S$15,ROW(G16)-ROW(G$15),0))</f>
        <v/>
      </c>
      <c r="H16" s="147">
        <f ca="1">IF($D16&lt;&gt;"Serviço",0,IF(ACOMPANHAMENTO="BM",ROUND(OFFSET(ORÇAMENTO!AJ$15,ROW(H16)-ROW(H$15),0),15-13*ORÇAMENTO!$AF$7),SUMPRODUCT(($Q$12:$AA$12&lt;&gt;"")*ROUND($Q16:$AA16,15-13*ORÇAMENTO!$AF$7))))</f>
        <v>0</v>
      </c>
      <c r="I16" s="645"/>
      <c r="K16" s="204"/>
      <c r="L16" s="205" t="s">
        <v>255</v>
      </c>
      <c r="M16" s="206" t="str">
        <f ca="1">IF($D16&lt;&gt;"Serviço","",IF(AUTOEVENTO="manual",$A16,IF(ISERROR(MATCH($A16,$A$15:OFFSET($A16,-1,0),0)),MAX($M$15:OFFSET(M16,-1,0))+1,INDEX($M$15:OFFSET(M16,-1,0),MATCH($A16,$A$15:OFFSET($A16,-1,0),0)))))</f>
        <v/>
      </c>
      <c r="N16" s="207" t="str">
        <f ca="1">IF($D16&lt;&gt;"Serviço","",IF(AUTOEVENTO="Manual",IF($A16=0,"&lt;-- defina o número do agrupador",OFFSET(EVENTOS!$D$14,$A16,0)),OFFSET($F$15,$A16,0)))</f>
        <v/>
      </c>
      <c r="O16" s="208"/>
      <c r="Q16" s="208"/>
      <c r="R16" s="209"/>
      <c r="S16" s="209"/>
      <c r="T16" s="209"/>
      <c r="U16" s="209"/>
      <c r="V16" s="209"/>
      <c r="W16" s="209"/>
      <c r="X16" s="209"/>
      <c r="Y16" s="209"/>
      <c r="Z16" s="210"/>
      <c r="AB16" s="626">
        <f ca="1">IF(AND($D16="Serviço",AB$12&lt;&gt;0,$H16&gt;0,OR(AUTOEVENTO&lt;&gt;"manual",$M16&lt;&gt;1)),IF(Import.TipoArredondamento&lt;&gt;"TransfereGOV",ROUND(OFFSET($P16,0,AB$13),15-13*ORÇAMENTO!$AF$7)/$H16*OFFSET(ORÇAMENTO!$X$15,ROW(AB16)-ROW(AB$15),0),ROUND(ROUND(OFFSET($P16,0,AB$13),15-13*ORÇAMENTO!$AF$7)*OFFSET(ORÇAMENTO!$W$15,ROW(AB16)-ROW(AB$15),0),15-13*ORÇAMENTO!$AF$11)),0)</f>
        <v>0</v>
      </c>
      <c r="AC16" s="627">
        <f ca="1">IF(AND($D16="Serviço",AC$12&lt;&gt;0,$H16&gt;0,OR(AUTOEVENTO&lt;&gt;"manual",$M16&lt;&gt;1)),IF(Import.TipoArredondamento&lt;&gt;"TransfereGOV",ROUND(OFFSET($P16,0,AC$13),15-13*ORÇAMENTO!$AF$7)/$H16*OFFSET(ORÇAMENTO!$X$15,ROW(AC16)-ROW(AC$15),0),ROUND(ROUND(OFFSET($P16,0,AC$13),15-13*ORÇAMENTO!$AF$7)*OFFSET(ORÇAMENTO!$W$15,ROW(AC16)-ROW(AC$15),0),15-13*ORÇAMENTO!$AF$11)),0)</f>
        <v>0</v>
      </c>
      <c r="AD16" s="627">
        <f ca="1">IF(AND($D16="Serviço",AD$12&lt;&gt;0,$H16&gt;0,OR(AUTOEVENTO&lt;&gt;"manual",$M16&lt;&gt;1)),IF(Import.TipoArredondamento&lt;&gt;"TransfereGOV",ROUND(OFFSET($P16,0,AD$13),15-13*ORÇAMENTO!$AF$7)/$H16*OFFSET(ORÇAMENTO!$X$15,ROW(AD16)-ROW(AD$15),0),ROUND(ROUND(OFFSET($P16,0,AD$13),15-13*ORÇAMENTO!$AF$7)*OFFSET(ORÇAMENTO!$W$15,ROW(AD16)-ROW(AD$15),0),15-13*ORÇAMENTO!$AF$11)),0)</f>
        <v>0</v>
      </c>
      <c r="AE16" s="627">
        <f ca="1">IF(AND($D16="Serviço",AE$12&lt;&gt;0,$H16&gt;0,OR(AUTOEVENTO&lt;&gt;"manual",$M16&lt;&gt;1)),IF(Import.TipoArredondamento&lt;&gt;"TransfereGOV",ROUND(OFFSET($P16,0,AE$13),15-13*ORÇAMENTO!$AF$7)/$H16*OFFSET(ORÇAMENTO!$X$15,ROW(AE16)-ROW(AE$15),0),ROUND(ROUND(OFFSET($P16,0,AE$13),15-13*ORÇAMENTO!$AF$7)*OFFSET(ORÇAMENTO!$W$15,ROW(AE16)-ROW(AE$15),0),15-13*ORÇAMENTO!$AF$11)),0)</f>
        <v>0</v>
      </c>
      <c r="AF16" s="627">
        <f ca="1">IF(AND($D16="Serviço",AF$12&lt;&gt;0,$H16&gt;0,OR(AUTOEVENTO&lt;&gt;"manual",$M16&lt;&gt;1)),IF(Import.TipoArredondamento&lt;&gt;"TransfereGOV",ROUND(OFFSET($P16,0,AF$13),15-13*ORÇAMENTO!$AF$7)/$H16*OFFSET(ORÇAMENTO!$X$15,ROW(AF16)-ROW(AF$15),0),ROUND(ROUND(OFFSET($P16,0,AF$13),15-13*ORÇAMENTO!$AF$7)*OFFSET(ORÇAMENTO!$W$15,ROW(AF16)-ROW(AF$15),0),15-13*ORÇAMENTO!$AF$11)),0)</f>
        <v>0</v>
      </c>
      <c r="AG16" s="627">
        <f ca="1">IF(AND($D16="Serviço",AG$12&lt;&gt;0,$H16&gt;0,OR(AUTOEVENTO&lt;&gt;"manual",$M16&lt;&gt;1)),IF(Import.TipoArredondamento&lt;&gt;"TransfereGOV",ROUND(OFFSET($P16,0,AG$13),15-13*ORÇAMENTO!$AF$7)/$H16*OFFSET(ORÇAMENTO!$X$15,ROW(AG16)-ROW(AG$15),0),ROUND(ROUND(OFFSET($P16,0,AG$13),15-13*ORÇAMENTO!$AF$7)*OFFSET(ORÇAMENTO!$W$15,ROW(AG16)-ROW(AG$15),0),15-13*ORÇAMENTO!$AF$11)),0)</f>
        <v>0</v>
      </c>
      <c r="AH16" s="627">
        <f ca="1">IF(AND($D16="Serviço",AH$12&lt;&gt;0,$H16&gt;0,OR(AUTOEVENTO&lt;&gt;"manual",$M16&lt;&gt;1)),IF(Import.TipoArredondamento&lt;&gt;"TransfereGOV",ROUND(OFFSET($P16,0,AH$13),15-13*ORÇAMENTO!$AF$7)/$H16*OFFSET(ORÇAMENTO!$X$15,ROW(AH16)-ROW(AH$15),0),ROUND(ROUND(OFFSET($P16,0,AH$13),15-13*ORÇAMENTO!$AF$7)*OFFSET(ORÇAMENTO!$W$15,ROW(AH16)-ROW(AH$15),0),15-13*ORÇAMENTO!$AF$11)),0)</f>
        <v>0</v>
      </c>
      <c r="AI16" s="627">
        <f ca="1">IF(AND($D16="Serviço",AI$12&lt;&gt;0,$H16&gt;0,OR(AUTOEVENTO&lt;&gt;"manual",$M16&lt;&gt;1)),IF(Import.TipoArredondamento&lt;&gt;"TransfereGOV",ROUND(OFFSET($P16,0,AI$13),15-13*ORÇAMENTO!$AF$7)/$H16*OFFSET(ORÇAMENTO!$X$15,ROW(AI16)-ROW(AI$15),0),ROUND(ROUND(OFFSET($P16,0,AI$13),15-13*ORÇAMENTO!$AF$7)*OFFSET(ORÇAMENTO!$W$15,ROW(AI16)-ROW(AI$15),0),15-13*ORÇAMENTO!$AF$11)),0)</f>
        <v>0</v>
      </c>
      <c r="AJ16" s="627">
        <f ca="1">IF(AND($D16="Serviço",AJ$12&lt;&gt;0,$H16&gt;0,OR(AUTOEVENTO&lt;&gt;"manual",$M16&lt;&gt;1)),IF(Import.TipoArredondamento&lt;&gt;"TransfereGOV",ROUND(OFFSET($P16,0,AJ$13),15-13*ORÇAMENTO!$AF$7)/$H16*OFFSET(ORÇAMENTO!$X$15,ROW(AJ16)-ROW(AJ$15),0),ROUND(ROUND(OFFSET($P16,0,AJ$13),15-13*ORÇAMENTO!$AF$7)*OFFSET(ORÇAMENTO!$W$15,ROW(AJ16)-ROW(AJ$15),0),15-13*ORÇAMENTO!$AF$11)),0)</f>
        <v>0</v>
      </c>
      <c r="AK16" s="628">
        <f ca="1">IF(AND($D16="Serviço",AK$12&lt;&gt;0,$H16&gt;0,OR(AUTOEVENTO&lt;&gt;"manual",$M16&lt;&gt;1)),IF(Import.TipoArredondamento&lt;&gt;"TransfereGOV",ROUND(OFFSET($P16,0,AK$13),15-13*ORÇAMENTO!$AF$7)/$H16*OFFSET(ORÇAMENTO!$X$15,ROW(AK16)-ROW(AK$15),0),ROUND(ROUND(OFFSET($P16,0,AK$13),15-13*ORÇAMENTO!$AF$7)*OFFSET(ORÇAMENTO!$W$15,ROW(AK16)-ROW(AK$15),0),15-13*ORÇAMENTO!$AF$11)),0)</f>
        <v>0</v>
      </c>
      <c r="AM16" s="211">
        <f ca="1">IF($D16&lt;&gt;"Serviço",0,IF(AND(AUTOEVENTO="Manual",$M16=1),0,IF(OFFSET(CRONOPLE!$F$14,$M16,AM$13)="",10^12,OFFSET(CRONOPLE!$F$14,$M16,AM$13))))</f>
        <v>0</v>
      </c>
      <c r="AN16" s="211">
        <f ca="1">IF($D16&lt;&gt;"Serviço",0,IF(AND(AUTOEVENTO="Manual",$M16=1),0,IF(OFFSET(CRONOPLE!$F$14,$M16,AN$13)="",10^12,OFFSET(CRONOPLE!$F$14,$M16,AN$13))))</f>
        <v>0</v>
      </c>
      <c r="AO16" s="211">
        <f ca="1">IF($D16&lt;&gt;"Serviço",0,IF(AND(AUTOEVENTO="Manual",$M16=1),0,IF(OFFSET(CRONOPLE!$F$14,$M16,AO$13)="",10^12,OFFSET(CRONOPLE!$F$14,$M16,AO$13))))</f>
        <v>0</v>
      </c>
      <c r="AP16" s="211">
        <f ca="1">IF($D16&lt;&gt;"Serviço",0,IF(AND(AUTOEVENTO="Manual",$M16=1),0,IF(OFFSET(CRONOPLE!$F$14,$M16,AP$13)="",10^12,OFFSET(CRONOPLE!$F$14,$M16,AP$13))))</f>
        <v>0</v>
      </c>
      <c r="AQ16" s="211">
        <f ca="1">IF($D16&lt;&gt;"Serviço",0,IF(AND(AUTOEVENTO="Manual",$M16=1),0,IF(OFFSET(CRONOPLE!$F$14,$M16,AQ$13)="",10^12,OFFSET(CRONOPLE!$F$14,$M16,AQ$13))))</f>
        <v>0</v>
      </c>
      <c r="AR16" s="211">
        <f ca="1">IF($D16&lt;&gt;"Serviço",0,IF(AND(AUTOEVENTO="Manual",$M16=1),0,IF(OFFSET(CRONOPLE!$F$14,$M16,AR$13)="",10^12,OFFSET(CRONOPLE!$F$14,$M16,AR$13))))</f>
        <v>0</v>
      </c>
      <c r="AS16" s="211">
        <f ca="1">IF($D16&lt;&gt;"Serviço",0,IF(AND(AUTOEVENTO="Manual",$M16=1),0,IF(OFFSET(CRONOPLE!$F$14,$M16,AS$13)="",10^12,OFFSET(CRONOPLE!$F$14,$M16,AS$13))))</f>
        <v>0</v>
      </c>
      <c r="AT16" s="211">
        <f ca="1">IF($D16&lt;&gt;"Serviço",0,IF(AND(AUTOEVENTO="Manual",$M16=1),0,IF(OFFSET(CRONOPLE!$F$14,$M16,AT$13)="",10^12,OFFSET(CRONOPLE!$F$14,$M16,AT$13))))</f>
        <v>0</v>
      </c>
      <c r="AU16" s="211">
        <f ca="1">IF($D16&lt;&gt;"Serviço",0,IF(AND(AUTOEVENTO="Manual",$M16=1),0,IF(OFFSET(CRONOPLE!$F$14,$M16,AU$13)="",10^12,OFFSET(CRONOPLE!$F$14,$M16,AU$13))))</f>
        <v>0</v>
      </c>
      <c r="AV16" s="211">
        <f ca="1">IF($D16&lt;&gt;"Serviço",0,IF(AND(AUTOEVENTO="Manual",$M16=1),0,IF(OFFSET(CRONOPLE!$F$14,$M16,AV$13)="",10^12,OFFSET(CRONOPLE!$F$14,$M16,AV$13))))</f>
        <v>0</v>
      </c>
      <c r="AX16" s="212">
        <f ca="1">IF($D16&lt;&gt;"Serviço",0,IF(OR(AND(AUTOEVENTO="Manual",$M16=1),$M16&gt;(ROW(PLE.lastrow)-ROW(PLE.firstrow))),0,IF(OFFSET(PLE!$G$14,$M16,AX$13)="",10^12,OFFSET(PLE!$G$14,$M16,AX$13))))</f>
        <v>0</v>
      </c>
      <c r="AY16" s="212">
        <f ca="1">IF($D16&lt;&gt;"Serviço",0,IF(OR(AND(AUTOEVENTO="Manual",$M16=1),$M16&gt;(ROW(PLE.lastrow)-ROW(PLE.firstrow))),0,IF(OFFSET(PLE!$G$14,$M16,AY$13)="",10^12,OFFSET(PLE!$G$14,$M16,AY$13))))</f>
        <v>0</v>
      </c>
      <c r="AZ16" s="212">
        <f ca="1">IF($D16&lt;&gt;"Serviço",0,IF(OR(AND(AUTOEVENTO="Manual",$M16=1),$M16&gt;(ROW(PLE.lastrow)-ROW(PLE.firstrow))),0,IF(OFFSET(PLE!$G$14,$M16,AZ$13)="",10^12,OFFSET(PLE!$G$14,$M16,AZ$13))))</f>
        <v>0</v>
      </c>
      <c r="BA16" s="212">
        <f ca="1">IF($D16&lt;&gt;"Serviço",0,IF(OR(AND(AUTOEVENTO="Manual",$M16=1),$M16&gt;(ROW(PLE.lastrow)-ROW(PLE.firstrow))),0,IF(OFFSET(PLE!$G$14,$M16,BA$13)="",10^12,OFFSET(PLE!$G$14,$M16,BA$13))))</f>
        <v>0</v>
      </c>
      <c r="BB16" s="212">
        <f ca="1">IF($D16&lt;&gt;"Serviço",0,IF(OR(AND(AUTOEVENTO="Manual",$M16=1),$M16&gt;(ROW(PLE.lastrow)-ROW(PLE.firstrow))),0,IF(OFFSET(PLE!$G$14,$M16,BB$13)="",10^12,OFFSET(PLE!$G$14,$M16,BB$13))))</f>
        <v>0</v>
      </c>
      <c r="BC16" s="212">
        <f ca="1">IF($D16&lt;&gt;"Serviço",0,IF(OR(AND(AUTOEVENTO="Manual",$M16=1),$M16&gt;(ROW(PLE.lastrow)-ROW(PLE.firstrow))),0,IF(OFFSET(PLE!$G$14,$M16,BC$13)="",10^12,OFFSET(PLE!$G$14,$M16,BC$13))))</f>
        <v>0</v>
      </c>
      <c r="BD16" s="212">
        <f ca="1">IF($D16&lt;&gt;"Serviço",0,IF(OR(AND(AUTOEVENTO="Manual",$M16=1),$M16&gt;(ROW(PLE.lastrow)-ROW(PLE.firstrow))),0,IF(OFFSET(PLE!$G$14,$M16,BD$13)="",10^12,OFFSET(PLE!$G$14,$M16,BD$13))))</f>
        <v>0</v>
      </c>
      <c r="BE16" s="212">
        <f ca="1">IF($D16&lt;&gt;"Serviço",0,IF(OR(AND(AUTOEVENTO="Manual",$M16=1),$M16&gt;(ROW(PLE.lastrow)-ROW(PLE.firstrow))),0,IF(OFFSET(PLE!$G$14,$M16,BE$13)="",10^12,OFFSET(PLE!$G$14,$M16,BE$13))))</f>
        <v>0</v>
      </c>
      <c r="BF16" s="212">
        <f ca="1">IF($D16&lt;&gt;"Serviço",0,IF(OR(AND(AUTOEVENTO="Manual",$M16=1),$M16&gt;(ROW(PLE.lastrow)-ROW(PLE.firstrow))),0,IF(OFFSET(PLE!$G$14,$M16,BF$13)="",10^12,OFFSET(PLE!$G$14,$M16,BF$13))))</f>
        <v>0</v>
      </c>
      <c r="BG16" s="212">
        <f ca="1">IF($D16&lt;&gt;"Serviço",0,IF(OR(AND(AUTOEVENTO="Manual",$M16=1),$M16&gt;(ROW(PLE.lastrow)-ROW(PLE.firstrow))),0,IF(OFFSET(PLE!$G$14,$M16,BG$13)="",10^12,OFFSET(PLE!$G$14,$M16,BG$13))))</f>
        <v>0</v>
      </c>
    </row>
    <row r="17" spans="1:59" ht="12.75">
      <c r="A17" s="9" t="str">
        <f t="shared" ca="1" si="8"/>
        <v>2.</v>
      </c>
      <c r="B17" s="9">
        <f ca="1">OFFSET(ORÇAMENTO!C$15,ROW(B17)-ROW(B$15),0)</f>
        <v>2</v>
      </c>
      <c r="C17" s="9" t="str">
        <f ca="1">OFFSET(ORÇAMENTO!L$15,ROW(C17)-ROW(C$15),0)</f>
        <v>F</v>
      </c>
      <c r="D17" s="141" t="str">
        <f ca="1">OFFSET(ORÇAMENTO!N$15,ROW(D17)-ROW(D$15),0)</f>
        <v>Nível 2</v>
      </c>
      <c r="E17" s="201" t="str">
        <f ca="1">OFFSET(ORÇAMENTO!O$15,ROW(E17)-ROW(E$15),0)</f>
        <v>1.1.</v>
      </c>
      <c r="F17" s="202" t="str">
        <f ca="1">OFFSET(ORÇAMENTO!R$15,ROW(F17)-ROW(F$15),0)</f>
        <v>INSTALAÇÕES INICIAIS DA OBRA</v>
      </c>
      <c r="G17" s="203" t="str">
        <f ca="1">IF($D17&lt;&gt;"Serviço","",OFFSET(ORÇAMENTO!S$15,ROW(G17)-ROW(G$15),0))</f>
        <v/>
      </c>
      <c r="H17" s="147">
        <f ca="1">IF($D17&lt;&gt;"Serviço",0,IF(ACOMPANHAMENTO="BM",ROUND(OFFSET(ORÇAMENTO!AJ$15,ROW(H17)-ROW(H$15),0),15-13*ORÇAMENTO!$AF$7),SUMPRODUCT(($Q$12:$AA$12&lt;&gt;"")*ROUND($Q17:$AA17,15-13*ORÇAMENTO!$AF$7))))</f>
        <v>0</v>
      </c>
      <c r="I17" s="645"/>
      <c r="K17" s="204"/>
      <c r="L17" s="205" t="s">
        <v>255</v>
      </c>
      <c r="M17" s="206" t="str">
        <f ca="1">IF($D17&lt;&gt;"Serviço","",IF(AUTOEVENTO="manual",$A17,IF(ISERROR(MATCH($A17,$A$15:OFFSET($A17,-1,0),0)),MAX($M$15:OFFSET(M17,-1,0))+1,INDEX($M$15:OFFSET(M17,-1,0),MATCH($A17,$A$15:OFFSET($A17,-1,0),0)))))</f>
        <v/>
      </c>
      <c r="N17" s="207" t="str">
        <f ca="1">IF($D17&lt;&gt;"Serviço","",IF(AUTOEVENTO="Manual",IF($A17=0,"&lt;-- defina o número do agrupador",OFFSET(EVENTOS!$D$14,$A17,0)),OFFSET($F$15,$A17,0)))</f>
        <v/>
      </c>
      <c r="O17" s="208"/>
      <c r="Q17" s="208"/>
      <c r="R17" s="209"/>
      <c r="S17" s="209"/>
      <c r="T17" s="209"/>
      <c r="U17" s="209"/>
      <c r="V17" s="209"/>
      <c r="W17" s="209"/>
      <c r="X17" s="209"/>
      <c r="Y17" s="209"/>
      <c r="Z17" s="210"/>
      <c r="AB17" s="626">
        <f ca="1">IF(AND($D17="Serviço",AB$12&lt;&gt;0,$H17&gt;0,OR(AUTOEVENTO&lt;&gt;"manual",$M17&lt;&gt;1)),IF(Import.TipoArredondamento&lt;&gt;"TransfereGOV",ROUND(OFFSET($P17,0,AB$13),15-13*ORÇAMENTO!$AF$7)/$H17*OFFSET(ORÇAMENTO!$X$15,ROW(AB17)-ROW(AB$15),0),ROUND(ROUND(OFFSET($P17,0,AB$13),15-13*ORÇAMENTO!$AF$7)*OFFSET(ORÇAMENTO!$W$15,ROW(AB17)-ROW(AB$15),0),15-13*ORÇAMENTO!$AF$11)),0)</f>
        <v>0</v>
      </c>
      <c r="AC17" s="627">
        <f ca="1">IF(AND($D17="Serviço",AC$12&lt;&gt;0,$H17&gt;0,OR(AUTOEVENTO&lt;&gt;"manual",$M17&lt;&gt;1)),IF(Import.TipoArredondamento&lt;&gt;"TransfereGOV",ROUND(OFFSET($P17,0,AC$13),15-13*ORÇAMENTO!$AF$7)/$H17*OFFSET(ORÇAMENTO!$X$15,ROW(AC17)-ROW(AC$15),0),ROUND(ROUND(OFFSET($P17,0,AC$13),15-13*ORÇAMENTO!$AF$7)*OFFSET(ORÇAMENTO!$W$15,ROW(AC17)-ROW(AC$15),0),15-13*ORÇAMENTO!$AF$11)),0)</f>
        <v>0</v>
      </c>
      <c r="AD17" s="627">
        <f ca="1">IF(AND($D17="Serviço",AD$12&lt;&gt;0,$H17&gt;0,OR(AUTOEVENTO&lt;&gt;"manual",$M17&lt;&gt;1)),IF(Import.TipoArredondamento&lt;&gt;"TransfereGOV",ROUND(OFFSET($P17,0,AD$13),15-13*ORÇAMENTO!$AF$7)/$H17*OFFSET(ORÇAMENTO!$X$15,ROW(AD17)-ROW(AD$15),0),ROUND(ROUND(OFFSET($P17,0,AD$13),15-13*ORÇAMENTO!$AF$7)*OFFSET(ORÇAMENTO!$W$15,ROW(AD17)-ROW(AD$15),0),15-13*ORÇAMENTO!$AF$11)),0)</f>
        <v>0</v>
      </c>
      <c r="AE17" s="627">
        <f ca="1">IF(AND($D17="Serviço",AE$12&lt;&gt;0,$H17&gt;0,OR(AUTOEVENTO&lt;&gt;"manual",$M17&lt;&gt;1)),IF(Import.TipoArredondamento&lt;&gt;"TransfereGOV",ROUND(OFFSET($P17,0,AE$13),15-13*ORÇAMENTO!$AF$7)/$H17*OFFSET(ORÇAMENTO!$X$15,ROW(AE17)-ROW(AE$15),0),ROUND(ROUND(OFFSET($P17,0,AE$13),15-13*ORÇAMENTO!$AF$7)*OFFSET(ORÇAMENTO!$W$15,ROW(AE17)-ROW(AE$15),0),15-13*ORÇAMENTO!$AF$11)),0)</f>
        <v>0</v>
      </c>
      <c r="AF17" s="627">
        <f ca="1">IF(AND($D17="Serviço",AF$12&lt;&gt;0,$H17&gt;0,OR(AUTOEVENTO&lt;&gt;"manual",$M17&lt;&gt;1)),IF(Import.TipoArredondamento&lt;&gt;"TransfereGOV",ROUND(OFFSET($P17,0,AF$13),15-13*ORÇAMENTO!$AF$7)/$H17*OFFSET(ORÇAMENTO!$X$15,ROW(AF17)-ROW(AF$15),0),ROUND(ROUND(OFFSET($P17,0,AF$13),15-13*ORÇAMENTO!$AF$7)*OFFSET(ORÇAMENTO!$W$15,ROW(AF17)-ROW(AF$15),0),15-13*ORÇAMENTO!$AF$11)),0)</f>
        <v>0</v>
      </c>
      <c r="AG17" s="627">
        <f ca="1">IF(AND($D17="Serviço",AG$12&lt;&gt;0,$H17&gt;0,OR(AUTOEVENTO&lt;&gt;"manual",$M17&lt;&gt;1)),IF(Import.TipoArredondamento&lt;&gt;"TransfereGOV",ROUND(OFFSET($P17,0,AG$13),15-13*ORÇAMENTO!$AF$7)/$H17*OFFSET(ORÇAMENTO!$X$15,ROW(AG17)-ROW(AG$15),0),ROUND(ROUND(OFFSET($P17,0,AG$13),15-13*ORÇAMENTO!$AF$7)*OFFSET(ORÇAMENTO!$W$15,ROW(AG17)-ROW(AG$15),0),15-13*ORÇAMENTO!$AF$11)),0)</f>
        <v>0</v>
      </c>
      <c r="AH17" s="627">
        <f ca="1">IF(AND($D17="Serviço",AH$12&lt;&gt;0,$H17&gt;0,OR(AUTOEVENTO&lt;&gt;"manual",$M17&lt;&gt;1)),IF(Import.TipoArredondamento&lt;&gt;"TransfereGOV",ROUND(OFFSET($P17,0,AH$13),15-13*ORÇAMENTO!$AF$7)/$H17*OFFSET(ORÇAMENTO!$X$15,ROW(AH17)-ROW(AH$15),0),ROUND(ROUND(OFFSET($P17,0,AH$13),15-13*ORÇAMENTO!$AF$7)*OFFSET(ORÇAMENTO!$W$15,ROW(AH17)-ROW(AH$15),0),15-13*ORÇAMENTO!$AF$11)),0)</f>
        <v>0</v>
      </c>
      <c r="AI17" s="627">
        <f ca="1">IF(AND($D17="Serviço",AI$12&lt;&gt;0,$H17&gt;0,OR(AUTOEVENTO&lt;&gt;"manual",$M17&lt;&gt;1)),IF(Import.TipoArredondamento&lt;&gt;"TransfereGOV",ROUND(OFFSET($P17,0,AI$13),15-13*ORÇAMENTO!$AF$7)/$H17*OFFSET(ORÇAMENTO!$X$15,ROW(AI17)-ROW(AI$15),0),ROUND(ROUND(OFFSET($P17,0,AI$13),15-13*ORÇAMENTO!$AF$7)*OFFSET(ORÇAMENTO!$W$15,ROW(AI17)-ROW(AI$15),0),15-13*ORÇAMENTO!$AF$11)),0)</f>
        <v>0</v>
      </c>
      <c r="AJ17" s="627">
        <f ca="1">IF(AND($D17="Serviço",AJ$12&lt;&gt;0,$H17&gt;0,OR(AUTOEVENTO&lt;&gt;"manual",$M17&lt;&gt;1)),IF(Import.TipoArredondamento&lt;&gt;"TransfereGOV",ROUND(OFFSET($P17,0,AJ$13),15-13*ORÇAMENTO!$AF$7)/$H17*OFFSET(ORÇAMENTO!$X$15,ROW(AJ17)-ROW(AJ$15),0),ROUND(ROUND(OFFSET($P17,0,AJ$13),15-13*ORÇAMENTO!$AF$7)*OFFSET(ORÇAMENTO!$W$15,ROW(AJ17)-ROW(AJ$15),0),15-13*ORÇAMENTO!$AF$11)),0)</f>
        <v>0</v>
      </c>
      <c r="AK17" s="628">
        <f ca="1">IF(AND($D17="Serviço",AK$12&lt;&gt;0,$H17&gt;0,OR(AUTOEVENTO&lt;&gt;"manual",$M17&lt;&gt;1)),IF(Import.TipoArredondamento&lt;&gt;"TransfereGOV",ROUND(OFFSET($P17,0,AK$13),15-13*ORÇAMENTO!$AF$7)/$H17*OFFSET(ORÇAMENTO!$X$15,ROW(AK17)-ROW(AK$15),0),ROUND(ROUND(OFFSET($P17,0,AK$13),15-13*ORÇAMENTO!$AF$7)*OFFSET(ORÇAMENTO!$W$15,ROW(AK17)-ROW(AK$15),0),15-13*ORÇAMENTO!$AF$11)),0)</f>
        <v>0</v>
      </c>
      <c r="AM17" s="211">
        <f ca="1">IF($D17&lt;&gt;"Serviço",0,IF(AND(AUTOEVENTO="Manual",$M17=1),0,IF(OFFSET(CRONOPLE!$F$14,$M17,AM$13)="",10^12,OFFSET(CRONOPLE!$F$14,$M17,AM$13))))</f>
        <v>0</v>
      </c>
      <c r="AN17" s="211">
        <f ca="1">IF($D17&lt;&gt;"Serviço",0,IF(AND(AUTOEVENTO="Manual",$M17=1),0,IF(OFFSET(CRONOPLE!$F$14,$M17,AN$13)="",10^12,OFFSET(CRONOPLE!$F$14,$M17,AN$13))))</f>
        <v>0</v>
      </c>
      <c r="AO17" s="211">
        <f ca="1">IF($D17&lt;&gt;"Serviço",0,IF(AND(AUTOEVENTO="Manual",$M17=1),0,IF(OFFSET(CRONOPLE!$F$14,$M17,AO$13)="",10^12,OFFSET(CRONOPLE!$F$14,$M17,AO$13))))</f>
        <v>0</v>
      </c>
      <c r="AP17" s="211">
        <f ca="1">IF($D17&lt;&gt;"Serviço",0,IF(AND(AUTOEVENTO="Manual",$M17=1),0,IF(OFFSET(CRONOPLE!$F$14,$M17,AP$13)="",10^12,OFFSET(CRONOPLE!$F$14,$M17,AP$13))))</f>
        <v>0</v>
      </c>
      <c r="AQ17" s="211">
        <f ca="1">IF($D17&lt;&gt;"Serviço",0,IF(AND(AUTOEVENTO="Manual",$M17=1),0,IF(OFFSET(CRONOPLE!$F$14,$M17,AQ$13)="",10^12,OFFSET(CRONOPLE!$F$14,$M17,AQ$13))))</f>
        <v>0</v>
      </c>
      <c r="AR17" s="211">
        <f ca="1">IF($D17&lt;&gt;"Serviço",0,IF(AND(AUTOEVENTO="Manual",$M17=1),0,IF(OFFSET(CRONOPLE!$F$14,$M17,AR$13)="",10^12,OFFSET(CRONOPLE!$F$14,$M17,AR$13))))</f>
        <v>0</v>
      </c>
      <c r="AS17" s="211">
        <f ca="1">IF($D17&lt;&gt;"Serviço",0,IF(AND(AUTOEVENTO="Manual",$M17=1),0,IF(OFFSET(CRONOPLE!$F$14,$M17,AS$13)="",10^12,OFFSET(CRONOPLE!$F$14,$M17,AS$13))))</f>
        <v>0</v>
      </c>
      <c r="AT17" s="211">
        <f ca="1">IF($D17&lt;&gt;"Serviço",0,IF(AND(AUTOEVENTO="Manual",$M17=1),0,IF(OFFSET(CRONOPLE!$F$14,$M17,AT$13)="",10^12,OFFSET(CRONOPLE!$F$14,$M17,AT$13))))</f>
        <v>0</v>
      </c>
      <c r="AU17" s="211">
        <f ca="1">IF($D17&lt;&gt;"Serviço",0,IF(AND(AUTOEVENTO="Manual",$M17=1),0,IF(OFFSET(CRONOPLE!$F$14,$M17,AU$13)="",10^12,OFFSET(CRONOPLE!$F$14,$M17,AU$13))))</f>
        <v>0</v>
      </c>
      <c r="AV17" s="211">
        <f ca="1">IF($D17&lt;&gt;"Serviço",0,IF(AND(AUTOEVENTO="Manual",$M17=1),0,IF(OFFSET(CRONOPLE!$F$14,$M17,AV$13)="",10^12,OFFSET(CRONOPLE!$F$14,$M17,AV$13))))</f>
        <v>0</v>
      </c>
      <c r="AX17" s="212">
        <f ca="1">IF($D17&lt;&gt;"Serviço",0,IF(OR(AND(AUTOEVENTO="Manual",$M17=1),$M17&gt;(ROW(PLE.lastrow)-ROW(PLE.firstrow))),0,IF(OFFSET(PLE!$G$14,$M17,AX$13)="",10^12,OFFSET(PLE!$G$14,$M17,AX$13))))</f>
        <v>0</v>
      </c>
      <c r="AY17" s="212">
        <f ca="1">IF($D17&lt;&gt;"Serviço",0,IF(OR(AND(AUTOEVENTO="Manual",$M17=1),$M17&gt;(ROW(PLE.lastrow)-ROW(PLE.firstrow))),0,IF(OFFSET(PLE!$G$14,$M17,AY$13)="",10^12,OFFSET(PLE!$G$14,$M17,AY$13))))</f>
        <v>0</v>
      </c>
      <c r="AZ17" s="212">
        <f ca="1">IF($D17&lt;&gt;"Serviço",0,IF(OR(AND(AUTOEVENTO="Manual",$M17=1),$M17&gt;(ROW(PLE.lastrow)-ROW(PLE.firstrow))),0,IF(OFFSET(PLE!$G$14,$M17,AZ$13)="",10^12,OFFSET(PLE!$G$14,$M17,AZ$13))))</f>
        <v>0</v>
      </c>
      <c r="BA17" s="212">
        <f ca="1">IF($D17&lt;&gt;"Serviço",0,IF(OR(AND(AUTOEVENTO="Manual",$M17=1),$M17&gt;(ROW(PLE.lastrow)-ROW(PLE.firstrow))),0,IF(OFFSET(PLE!$G$14,$M17,BA$13)="",10^12,OFFSET(PLE!$G$14,$M17,BA$13))))</f>
        <v>0</v>
      </c>
      <c r="BB17" s="212">
        <f ca="1">IF($D17&lt;&gt;"Serviço",0,IF(OR(AND(AUTOEVENTO="Manual",$M17=1),$M17&gt;(ROW(PLE.lastrow)-ROW(PLE.firstrow))),0,IF(OFFSET(PLE!$G$14,$M17,BB$13)="",10^12,OFFSET(PLE!$G$14,$M17,BB$13))))</f>
        <v>0</v>
      </c>
      <c r="BC17" s="212">
        <f ca="1">IF($D17&lt;&gt;"Serviço",0,IF(OR(AND(AUTOEVENTO="Manual",$M17=1),$M17&gt;(ROW(PLE.lastrow)-ROW(PLE.firstrow))),0,IF(OFFSET(PLE!$G$14,$M17,BC$13)="",10^12,OFFSET(PLE!$G$14,$M17,BC$13))))</f>
        <v>0</v>
      </c>
      <c r="BD17" s="212">
        <f ca="1">IF($D17&lt;&gt;"Serviço",0,IF(OR(AND(AUTOEVENTO="Manual",$M17=1),$M17&gt;(ROW(PLE.lastrow)-ROW(PLE.firstrow))),0,IF(OFFSET(PLE!$G$14,$M17,BD$13)="",10^12,OFFSET(PLE!$G$14,$M17,BD$13))))</f>
        <v>0</v>
      </c>
      <c r="BE17" s="212">
        <f ca="1">IF($D17&lt;&gt;"Serviço",0,IF(OR(AND(AUTOEVENTO="Manual",$M17=1),$M17&gt;(ROW(PLE.lastrow)-ROW(PLE.firstrow))),0,IF(OFFSET(PLE!$G$14,$M17,BE$13)="",10^12,OFFSET(PLE!$G$14,$M17,BE$13))))</f>
        <v>0</v>
      </c>
      <c r="BF17" s="212">
        <f ca="1">IF($D17&lt;&gt;"Serviço",0,IF(OR(AND(AUTOEVENTO="Manual",$M17=1),$M17&gt;(ROW(PLE.lastrow)-ROW(PLE.firstrow))),0,IF(OFFSET(PLE!$G$14,$M17,BF$13)="",10^12,OFFSET(PLE!$G$14,$M17,BF$13))))</f>
        <v>0</v>
      </c>
      <c r="BG17" s="212">
        <f ca="1">IF($D17&lt;&gt;"Serviço",0,IF(OR(AND(AUTOEVENTO="Manual",$M17=1),$M17&gt;(ROW(PLE.lastrow)-ROW(PLE.firstrow))),0,IF(OFFSET(PLE!$G$14,$M17,BG$13)="",10^12,OFFSET(PLE!$G$14,$M17,BG$13))))</f>
        <v>0</v>
      </c>
    </row>
    <row r="18" spans="1:59" ht="25.5">
      <c r="A18" s="9" t="str">
        <f t="shared" ca="1" si="8"/>
        <v>2</v>
      </c>
      <c r="B18" s="9" t="str">
        <f ca="1">OFFSET(ORÇAMENTO!C$15,ROW(B18)-ROW(B$15),0)</f>
        <v>S</v>
      </c>
      <c r="C18" s="9" t="str">
        <f ca="1">OFFSET(ORÇAMENTO!L$15,ROW(C18)-ROW(C$15),0)</f>
        <v/>
      </c>
      <c r="D18" s="141" t="str">
        <f ca="1">OFFSET(ORÇAMENTO!N$15,ROW(D18)-ROW(D$15),0)</f>
        <v>Serviço</v>
      </c>
      <c r="E18" s="201" t="str">
        <f ca="1">OFFSET(ORÇAMENTO!O$15,ROW(E18)-ROW(E$15),0)</f>
        <v>-</v>
      </c>
      <c r="F18" s="202" t="str">
        <f ca="1">OFFSET(ORÇAMENTO!R$15,ROW(F18)-ROW(F$15),0)</f>
        <v>(abra o arquivo 'Referência 07-2024.xlsm)</v>
      </c>
      <c r="G18" s="203" t="str">
        <f ca="1">IF($D18&lt;&gt;"Serviço","",OFFSET(ORÇAMENTO!S$15,ROW(G18)-ROW(G$15),0))</f>
        <v>-</v>
      </c>
      <c r="H18" s="147">
        <f ca="1">IF($D18&lt;&gt;"Serviço",0,IF(ACOMPANHAMENTO="BM",ROUND(OFFSET(ORÇAMENTO!AJ$15,ROW(H18)-ROW(H$15),0),15-13*ORÇAMENTO!$AF$7),SUMPRODUCT(($Q$12:$AA$12&lt;&gt;"")*ROUND($Q18:$AA18,15-13*ORÇAMENTO!$AF$7))))</f>
        <v>4.5</v>
      </c>
      <c r="I18" s="645" t="s">
        <v>467</v>
      </c>
      <c r="K18" s="204"/>
      <c r="L18" s="205" t="s">
        <v>255</v>
      </c>
      <c r="M18" s="206">
        <f ca="1">IF($D18&lt;&gt;"Serviço","",IF(AUTOEVENTO="manual",$A18,IF(ISERROR(MATCH($A18,$A$15:OFFSET($A18,-1,0),0)),MAX($M$15:OFFSET(M18,-1,0))+1,INDEX($M$15:OFFSET(M18,-1,0),MATCH($A18,$A$15:OFFSET($A18,-1,0),0)))))</f>
        <v>2</v>
      </c>
      <c r="N18" s="207" t="str">
        <f ca="1">IF($D18&lt;&gt;"Serviço","",IF(AUTOEVENTO="Manual",IF($A18=0,"&lt;-- defina o número do agrupador",OFFSET(EVENTOS!$D$14,$A18,0)),OFFSET($F$15,$A18,0)))</f>
        <v>INSTALAÇÕES INICIAIS DA OBRA</v>
      </c>
      <c r="O18" s="208"/>
      <c r="Q18" s="208"/>
      <c r="R18" s="209"/>
      <c r="S18" s="209"/>
      <c r="T18" s="209"/>
      <c r="U18" s="209"/>
      <c r="V18" s="209"/>
      <c r="W18" s="209"/>
      <c r="X18" s="209"/>
      <c r="Y18" s="209"/>
      <c r="Z18" s="210"/>
      <c r="AB18" s="626">
        <f ca="1">IF(AND($D18="Serviço",AB$12&lt;&gt;0,$H18&gt;0,OR(AUTOEVENTO&lt;&gt;"manual",$M18&lt;&gt;1)),IF(Import.TipoArredondamento&lt;&gt;"TransfereGOV",ROUND(OFFSET($P18,0,AB$13),15-13*ORÇAMENTO!$AF$7)/$H18*OFFSET(ORÇAMENTO!$X$15,ROW(AB18)-ROW(AB$15),0),ROUND(ROUND(OFFSET($P18,0,AB$13),15-13*ORÇAMENTO!$AF$7)*OFFSET(ORÇAMENTO!$W$15,ROW(AB18)-ROW(AB$15),0),15-13*ORÇAMENTO!$AF$11)),0)</f>
        <v>0</v>
      </c>
      <c r="AC18" s="627">
        <f ca="1">IF(AND($D18="Serviço",AC$12&lt;&gt;0,$H18&gt;0,OR(AUTOEVENTO&lt;&gt;"manual",$M18&lt;&gt;1)),IF(Import.TipoArredondamento&lt;&gt;"TransfereGOV",ROUND(OFFSET($P18,0,AC$13),15-13*ORÇAMENTO!$AF$7)/$H18*OFFSET(ORÇAMENTO!$X$15,ROW(AC18)-ROW(AC$15),0),ROUND(ROUND(OFFSET($P18,0,AC$13),15-13*ORÇAMENTO!$AF$7)*OFFSET(ORÇAMENTO!$W$15,ROW(AC18)-ROW(AC$15),0),15-13*ORÇAMENTO!$AF$11)),0)</f>
        <v>0</v>
      </c>
      <c r="AD18" s="627">
        <f ca="1">IF(AND($D18="Serviço",AD$12&lt;&gt;0,$H18&gt;0,OR(AUTOEVENTO&lt;&gt;"manual",$M18&lt;&gt;1)),IF(Import.TipoArredondamento&lt;&gt;"TransfereGOV",ROUND(OFFSET($P18,0,AD$13),15-13*ORÇAMENTO!$AF$7)/$H18*OFFSET(ORÇAMENTO!$X$15,ROW(AD18)-ROW(AD$15),0),ROUND(ROUND(OFFSET($P18,0,AD$13),15-13*ORÇAMENTO!$AF$7)*OFFSET(ORÇAMENTO!$W$15,ROW(AD18)-ROW(AD$15),0),15-13*ORÇAMENTO!$AF$11)),0)</f>
        <v>0</v>
      </c>
      <c r="AE18" s="627">
        <f ca="1">IF(AND($D18="Serviço",AE$12&lt;&gt;0,$H18&gt;0,OR(AUTOEVENTO&lt;&gt;"manual",$M18&lt;&gt;1)),IF(Import.TipoArredondamento&lt;&gt;"TransfereGOV",ROUND(OFFSET($P18,0,AE$13),15-13*ORÇAMENTO!$AF$7)/$H18*OFFSET(ORÇAMENTO!$X$15,ROW(AE18)-ROW(AE$15),0),ROUND(ROUND(OFFSET($P18,0,AE$13),15-13*ORÇAMENTO!$AF$7)*OFFSET(ORÇAMENTO!$W$15,ROW(AE18)-ROW(AE$15),0),15-13*ORÇAMENTO!$AF$11)),0)</f>
        <v>0</v>
      </c>
      <c r="AF18" s="627">
        <f ca="1">IF(AND($D18="Serviço",AF$12&lt;&gt;0,$H18&gt;0,OR(AUTOEVENTO&lt;&gt;"manual",$M18&lt;&gt;1)),IF(Import.TipoArredondamento&lt;&gt;"TransfereGOV",ROUND(OFFSET($P18,0,AF$13),15-13*ORÇAMENTO!$AF$7)/$H18*OFFSET(ORÇAMENTO!$X$15,ROW(AF18)-ROW(AF$15),0),ROUND(ROUND(OFFSET($P18,0,AF$13),15-13*ORÇAMENTO!$AF$7)*OFFSET(ORÇAMENTO!$W$15,ROW(AF18)-ROW(AF$15),0),15-13*ORÇAMENTO!$AF$11)),0)</f>
        <v>0</v>
      </c>
      <c r="AG18" s="627">
        <f ca="1">IF(AND($D18="Serviço",AG$12&lt;&gt;0,$H18&gt;0,OR(AUTOEVENTO&lt;&gt;"manual",$M18&lt;&gt;1)),IF(Import.TipoArredondamento&lt;&gt;"TransfereGOV",ROUND(OFFSET($P18,0,AG$13),15-13*ORÇAMENTO!$AF$7)/$H18*OFFSET(ORÇAMENTO!$X$15,ROW(AG18)-ROW(AG$15),0),ROUND(ROUND(OFFSET($P18,0,AG$13),15-13*ORÇAMENTO!$AF$7)*OFFSET(ORÇAMENTO!$W$15,ROW(AG18)-ROW(AG$15),0),15-13*ORÇAMENTO!$AF$11)),0)</f>
        <v>0</v>
      </c>
      <c r="AH18" s="627">
        <f ca="1">IF(AND($D18="Serviço",AH$12&lt;&gt;0,$H18&gt;0,OR(AUTOEVENTO&lt;&gt;"manual",$M18&lt;&gt;1)),IF(Import.TipoArredondamento&lt;&gt;"TransfereGOV",ROUND(OFFSET($P18,0,AH$13),15-13*ORÇAMENTO!$AF$7)/$H18*OFFSET(ORÇAMENTO!$X$15,ROW(AH18)-ROW(AH$15),0),ROUND(ROUND(OFFSET($P18,0,AH$13),15-13*ORÇAMENTO!$AF$7)*OFFSET(ORÇAMENTO!$W$15,ROW(AH18)-ROW(AH$15),0),15-13*ORÇAMENTO!$AF$11)),0)</f>
        <v>0</v>
      </c>
      <c r="AI18" s="627">
        <f ca="1">IF(AND($D18="Serviço",AI$12&lt;&gt;0,$H18&gt;0,OR(AUTOEVENTO&lt;&gt;"manual",$M18&lt;&gt;1)),IF(Import.TipoArredondamento&lt;&gt;"TransfereGOV",ROUND(OFFSET($P18,0,AI$13),15-13*ORÇAMENTO!$AF$7)/$H18*OFFSET(ORÇAMENTO!$X$15,ROW(AI18)-ROW(AI$15),0),ROUND(ROUND(OFFSET($P18,0,AI$13),15-13*ORÇAMENTO!$AF$7)*OFFSET(ORÇAMENTO!$W$15,ROW(AI18)-ROW(AI$15),0),15-13*ORÇAMENTO!$AF$11)),0)</f>
        <v>0</v>
      </c>
      <c r="AJ18" s="627">
        <f ca="1">IF(AND($D18="Serviço",AJ$12&lt;&gt;0,$H18&gt;0,OR(AUTOEVENTO&lt;&gt;"manual",$M18&lt;&gt;1)),IF(Import.TipoArredondamento&lt;&gt;"TransfereGOV",ROUND(OFFSET($P18,0,AJ$13),15-13*ORÇAMENTO!$AF$7)/$H18*OFFSET(ORÇAMENTO!$X$15,ROW(AJ18)-ROW(AJ$15),0),ROUND(ROUND(OFFSET($P18,0,AJ$13),15-13*ORÇAMENTO!$AF$7)*OFFSET(ORÇAMENTO!$W$15,ROW(AJ18)-ROW(AJ$15),0),15-13*ORÇAMENTO!$AF$11)),0)</f>
        <v>0</v>
      </c>
      <c r="AK18" s="628">
        <f ca="1">IF(AND($D18="Serviço",AK$12&lt;&gt;0,$H18&gt;0,OR(AUTOEVENTO&lt;&gt;"manual",$M18&lt;&gt;1)),IF(Import.TipoArredondamento&lt;&gt;"TransfereGOV",ROUND(OFFSET($P18,0,AK$13),15-13*ORÇAMENTO!$AF$7)/$H18*OFFSET(ORÇAMENTO!$X$15,ROW(AK18)-ROW(AK$15),0),ROUND(ROUND(OFFSET($P18,0,AK$13),15-13*ORÇAMENTO!$AF$7)*OFFSET(ORÇAMENTO!$W$15,ROW(AK18)-ROW(AK$15),0),15-13*ORÇAMENTO!$AF$11)),0)</f>
        <v>0</v>
      </c>
      <c r="AM18" s="211">
        <f ca="1">IF($D18&lt;&gt;"Serviço",0,IF(AND(AUTOEVENTO="Manual",$M18=1),0,IF(OFFSET(CRONOPLE!$F$14,$M18,AM$13)="",10^12,OFFSET(CRONOPLE!$F$14,$M18,AM$13))))</f>
        <v>1000000000000</v>
      </c>
      <c r="AN18" s="211">
        <f ca="1">IF($D18&lt;&gt;"Serviço",0,IF(AND(AUTOEVENTO="Manual",$M18=1),0,IF(OFFSET(CRONOPLE!$F$14,$M18,AN$13)="",10^12,OFFSET(CRONOPLE!$F$14,$M18,AN$13))))</f>
        <v>1000000000000</v>
      </c>
      <c r="AO18" s="211">
        <f ca="1">IF($D18&lt;&gt;"Serviço",0,IF(AND(AUTOEVENTO="Manual",$M18=1),0,IF(OFFSET(CRONOPLE!$F$14,$M18,AO$13)="",10^12,OFFSET(CRONOPLE!$F$14,$M18,AO$13))))</f>
        <v>1000000000000</v>
      </c>
      <c r="AP18" s="211">
        <f ca="1">IF($D18&lt;&gt;"Serviço",0,IF(AND(AUTOEVENTO="Manual",$M18=1),0,IF(OFFSET(CRONOPLE!$F$14,$M18,AP$13)="",10^12,OFFSET(CRONOPLE!$F$14,$M18,AP$13))))</f>
        <v>1000000000000</v>
      </c>
      <c r="AQ18" s="211">
        <f ca="1">IF($D18&lt;&gt;"Serviço",0,IF(AND(AUTOEVENTO="Manual",$M18=1),0,IF(OFFSET(CRONOPLE!$F$14,$M18,AQ$13)="",10^12,OFFSET(CRONOPLE!$F$14,$M18,AQ$13))))</f>
        <v>1000000000000</v>
      </c>
      <c r="AR18" s="211">
        <f ca="1">IF($D18&lt;&gt;"Serviço",0,IF(AND(AUTOEVENTO="Manual",$M18=1),0,IF(OFFSET(CRONOPLE!$F$14,$M18,AR$13)="",10^12,OFFSET(CRONOPLE!$F$14,$M18,AR$13))))</f>
        <v>1000000000000</v>
      </c>
      <c r="AS18" s="211">
        <f ca="1">IF($D18&lt;&gt;"Serviço",0,IF(AND(AUTOEVENTO="Manual",$M18=1),0,IF(OFFSET(CRONOPLE!$F$14,$M18,AS$13)="",10^12,OFFSET(CRONOPLE!$F$14,$M18,AS$13))))</f>
        <v>1000000000000</v>
      </c>
      <c r="AT18" s="211">
        <f ca="1">IF($D18&lt;&gt;"Serviço",0,IF(AND(AUTOEVENTO="Manual",$M18=1),0,IF(OFFSET(CRONOPLE!$F$14,$M18,AT$13)="",10^12,OFFSET(CRONOPLE!$F$14,$M18,AT$13))))</f>
        <v>1000000000000</v>
      </c>
      <c r="AU18" s="211">
        <f ca="1">IF($D18&lt;&gt;"Serviço",0,IF(AND(AUTOEVENTO="Manual",$M18=1),0,IF(OFFSET(CRONOPLE!$F$14,$M18,AU$13)="",10^12,OFFSET(CRONOPLE!$F$14,$M18,AU$13))))</f>
        <v>1000000000000</v>
      </c>
      <c r="AV18" s="211">
        <f ca="1">IF($D18&lt;&gt;"Serviço",0,IF(AND(AUTOEVENTO="Manual",$M18=1),0,IF(OFFSET(CRONOPLE!$F$14,$M18,AV$13)="",10^12,OFFSET(CRONOPLE!$F$14,$M18,AV$13))))</f>
        <v>1000000000000</v>
      </c>
      <c r="AX18" s="212">
        <f ca="1">IF($D18&lt;&gt;"Serviço",0,IF(OR(AND(AUTOEVENTO="Manual",$M18=1),$M18&gt;(ROW(PLE.lastrow)-ROW(PLE.firstrow))),0,IF(OFFSET(PLE!$G$14,$M18,AX$13)="",10^12,OFFSET(PLE!$G$14,$M18,AX$13))))</f>
        <v>1000000000000</v>
      </c>
      <c r="AY18" s="212">
        <f ca="1">IF($D18&lt;&gt;"Serviço",0,IF(OR(AND(AUTOEVENTO="Manual",$M18=1),$M18&gt;(ROW(PLE.lastrow)-ROW(PLE.firstrow))),0,IF(OFFSET(PLE!$G$14,$M18,AY$13)="",10^12,OFFSET(PLE!$G$14,$M18,AY$13))))</f>
        <v>1000000000000</v>
      </c>
      <c r="AZ18" s="212">
        <f ca="1">IF($D18&lt;&gt;"Serviço",0,IF(OR(AND(AUTOEVENTO="Manual",$M18=1),$M18&gt;(ROW(PLE.lastrow)-ROW(PLE.firstrow))),0,IF(OFFSET(PLE!$G$14,$M18,AZ$13)="",10^12,OFFSET(PLE!$G$14,$M18,AZ$13))))</f>
        <v>1000000000000</v>
      </c>
      <c r="BA18" s="212">
        <f ca="1">IF($D18&lt;&gt;"Serviço",0,IF(OR(AND(AUTOEVENTO="Manual",$M18=1),$M18&gt;(ROW(PLE.lastrow)-ROW(PLE.firstrow))),0,IF(OFFSET(PLE!$G$14,$M18,BA$13)="",10^12,OFFSET(PLE!$G$14,$M18,BA$13))))</f>
        <v>1000000000000</v>
      </c>
      <c r="BB18" s="212">
        <f ca="1">IF($D18&lt;&gt;"Serviço",0,IF(OR(AND(AUTOEVENTO="Manual",$M18=1),$M18&gt;(ROW(PLE.lastrow)-ROW(PLE.firstrow))),0,IF(OFFSET(PLE!$G$14,$M18,BB$13)="",10^12,OFFSET(PLE!$G$14,$M18,BB$13))))</f>
        <v>1000000000000</v>
      </c>
      <c r="BC18" s="212">
        <f ca="1">IF($D18&lt;&gt;"Serviço",0,IF(OR(AND(AUTOEVENTO="Manual",$M18=1),$M18&gt;(ROW(PLE.lastrow)-ROW(PLE.firstrow))),0,IF(OFFSET(PLE!$G$14,$M18,BC$13)="",10^12,OFFSET(PLE!$G$14,$M18,BC$13))))</f>
        <v>1000000000000</v>
      </c>
      <c r="BD18" s="212">
        <f ca="1">IF($D18&lt;&gt;"Serviço",0,IF(OR(AND(AUTOEVENTO="Manual",$M18=1),$M18&gt;(ROW(PLE.lastrow)-ROW(PLE.firstrow))),0,IF(OFFSET(PLE!$G$14,$M18,BD$13)="",10^12,OFFSET(PLE!$G$14,$M18,BD$13))))</f>
        <v>1000000000000</v>
      </c>
      <c r="BE18" s="212">
        <f ca="1">IF($D18&lt;&gt;"Serviço",0,IF(OR(AND(AUTOEVENTO="Manual",$M18=1),$M18&gt;(ROW(PLE.lastrow)-ROW(PLE.firstrow))),0,IF(OFFSET(PLE!$G$14,$M18,BE$13)="",10^12,OFFSET(PLE!$G$14,$M18,BE$13))))</f>
        <v>1000000000000</v>
      </c>
      <c r="BF18" s="212">
        <f ca="1">IF($D18&lt;&gt;"Serviço",0,IF(OR(AND(AUTOEVENTO="Manual",$M18=1),$M18&gt;(ROW(PLE.lastrow)-ROW(PLE.firstrow))),0,IF(OFFSET(PLE!$G$14,$M18,BF$13)="",10^12,OFFSET(PLE!$G$14,$M18,BF$13))))</f>
        <v>1000000000000</v>
      </c>
      <c r="BG18" s="212">
        <f ca="1">IF($D18&lt;&gt;"Serviço",0,IF(OR(AND(AUTOEVENTO="Manual",$M18=1),$M18&gt;(ROW(PLE.lastrow)-ROW(PLE.firstrow))),0,IF(OFFSET(PLE!$G$14,$M18,BG$13)="",10^12,OFFSET(PLE!$G$14,$M18,BG$13))))</f>
        <v>1000000000000</v>
      </c>
    </row>
    <row r="19" spans="1:59" ht="38.25">
      <c r="A19" s="9" t="str">
        <f t="shared" ref="A19:A25" ca="1" si="9">IF(AUTOEVENTO="Manual",IF(K19&lt;&gt;"",MIN(VALUE(LEFT(K19,FIND(".",K19)-1)),COUNTA(EVENTOS.Lista)),0),IF(OR($B19&gt;AUTOEVENTO,$B19="S",$B19=0),SUBSTITUTE(OFFSET($A19,-1,0),IF($D19="Serviço",".",""),""),ROW(A19)-ROW($A$15)&amp;"."))</f>
        <v>2</v>
      </c>
      <c r="B19" s="9" t="str">
        <f ca="1">OFFSET(ORÇAMENTO!C$15,ROW(B19)-ROW(B$15),0)</f>
        <v>S</v>
      </c>
      <c r="C19" s="9" t="str">
        <f ca="1">OFFSET(ORÇAMENTO!L$15,ROW(C19)-ROW(C$15),0)</f>
        <v/>
      </c>
      <c r="D19" s="141" t="str">
        <f ca="1">OFFSET(ORÇAMENTO!N$15,ROW(D19)-ROW(D$15),0)</f>
        <v>Serviço</v>
      </c>
      <c r="E19" s="201" t="str">
        <f ca="1">OFFSET(ORÇAMENTO!O$15,ROW(E19)-ROW(E$15),0)</f>
        <v>-</v>
      </c>
      <c r="F19" s="202" t="str">
        <f ca="1">OFFSET(ORÇAMENTO!R$15,ROW(F19)-ROW(F$15),0)</f>
        <v>(abra o arquivo 'Referência 07-2024.xlsm)</v>
      </c>
      <c r="G19" s="203" t="str">
        <f ca="1">IF($D19&lt;&gt;"Serviço","",OFFSET(ORÇAMENTO!S$15,ROW(G19)-ROW(G$15),0))</f>
        <v>-</v>
      </c>
      <c r="H19" s="147">
        <f ca="1">IF($D19&lt;&gt;"Serviço",0,IF(ACOMPANHAMENTO="BM",ROUND(OFFSET(ORÇAMENTO!AJ$15,ROW(H19)-ROW(H$15),0),15-13*ORÇAMENTO!$AF$7),SUMPRODUCT(($Q$12:$AA$12&lt;&gt;"")*ROUND($Q19:$AA19,15-13*ORÇAMENTO!$AF$7))))</f>
        <v>2</v>
      </c>
      <c r="I19" s="645" t="s">
        <v>494</v>
      </c>
      <c r="K19" s="204"/>
      <c r="L19" s="205" t="s">
        <v>255</v>
      </c>
      <c r="M19" s="206">
        <f ca="1">IF($D19&lt;&gt;"Serviço","",IF(AUTOEVENTO="manual",$A19,IF(ISERROR(MATCH($A19,$A$15:OFFSET($A19,-1,0),0)),MAX($M$15:OFFSET(M19,-1,0))+1,INDEX($M$15:OFFSET(M19,-1,0),MATCH($A19,$A$15:OFFSET($A19,-1,0),0)))))</f>
        <v>2</v>
      </c>
      <c r="N19" s="207" t="str">
        <f ca="1">IF($D19&lt;&gt;"Serviço","",IF(AUTOEVENTO="Manual",IF($A19=0,"&lt;-- defina o número do agrupador",OFFSET(EVENTOS!$D$14,$A19,0)),OFFSET($F$15,$A19,0)))</f>
        <v>INSTALAÇÕES INICIAIS DA OBRA</v>
      </c>
      <c r="O19" s="208"/>
      <c r="Q19" s="208"/>
      <c r="R19" s="209"/>
      <c r="S19" s="209"/>
      <c r="T19" s="209"/>
      <c r="U19" s="209"/>
      <c r="V19" s="209"/>
      <c r="W19" s="209"/>
      <c r="X19" s="209"/>
      <c r="Y19" s="209"/>
      <c r="Z19" s="210"/>
      <c r="AB19" s="626">
        <f ca="1">IF(AND($D19="Serviço",AB$12&lt;&gt;0,$H19&gt;0,OR(AUTOEVENTO&lt;&gt;"manual",$M19&lt;&gt;1)),IF(Import.TipoArredondamento&lt;&gt;"TransfereGOV",ROUND(OFFSET($P19,0,AB$13),15-13*ORÇAMENTO!$AF$7)/$H19*OFFSET(ORÇAMENTO!$X$15,ROW(AB19)-ROW(AB$15),0),ROUND(ROUND(OFFSET($P19,0,AB$13),15-13*ORÇAMENTO!$AF$7)*OFFSET(ORÇAMENTO!$W$15,ROW(AB19)-ROW(AB$15),0),15-13*ORÇAMENTO!$AF$11)),0)</f>
        <v>0</v>
      </c>
      <c r="AC19" s="627">
        <f ca="1">IF(AND($D19="Serviço",AC$12&lt;&gt;0,$H19&gt;0,OR(AUTOEVENTO&lt;&gt;"manual",$M19&lt;&gt;1)),IF(Import.TipoArredondamento&lt;&gt;"TransfereGOV",ROUND(OFFSET($P19,0,AC$13),15-13*ORÇAMENTO!$AF$7)/$H19*OFFSET(ORÇAMENTO!$X$15,ROW(AC19)-ROW(AC$15),0),ROUND(ROUND(OFFSET($P19,0,AC$13),15-13*ORÇAMENTO!$AF$7)*OFFSET(ORÇAMENTO!$W$15,ROW(AC19)-ROW(AC$15),0),15-13*ORÇAMENTO!$AF$11)),0)</f>
        <v>0</v>
      </c>
      <c r="AD19" s="627">
        <f ca="1">IF(AND($D19="Serviço",AD$12&lt;&gt;0,$H19&gt;0,OR(AUTOEVENTO&lt;&gt;"manual",$M19&lt;&gt;1)),IF(Import.TipoArredondamento&lt;&gt;"TransfereGOV",ROUND(OFFSET($P19,0,AD$13),15-13*ORÇAMENTO!$AF$7)/$H19*OFFSET(ORÇAMENTO!$X$15,ROW(AD19)-ROW(AD$15),0),ROUND(ROUND(OFFSET($P19,0,AD$13),15-13*ORÇAMENTO!$AF$7)*OFFSET(ORÇAMENTO!$W$15,ROW(AD19)-ROW(AD$15),0),15-13*ORÇAMENTO!$AF$11)),0)</f>
        <v>0</v>
      </c>
      <c r="AE19" s="627">
        <f ca="1">IF(AND($D19="Serviço",AE$12&lt;&gt;0,$H19&gt;0,OR(AUTOEVENTO&lt;&gt;"manual",$M19&lt;&gt;1)),IF(Import.TipoArredondamento&lt;&gt;"TransfereGOV",ROUND(OFFSET($P19,0,AE$13),15-13*ORÇAMENTO!$AF$7)/$H19*OFFSET(ORÇAMENTO!$X$15,ROW(AE19)-ROW(AE$15),0),ROUND(ROUND(OFFSET($P19,0,AE$13),15-13*ORÇAMENTO!$AF$7)*OFFSET(ORÇAMENTO!$W$15,ROW(AE19)-ROW(AE$15),0),15-13*ORÇAMENTO!$AF$11)),0)</f>
        <v>0</v>
      </c>
      <c r="AF19" s="627">
        <f ca="1">IF(AND($D19="Serviço",AF$12&lt;&gt;0,$H19&gt;0,OR(AUTOEVENTO&lt;&gt;"manual",$M19&lt;&gt;1)),IF(Import.TipoArredondamento&lt;&gt;"TransfereGOV",ROUND(OFFSET($P19,0,AF$13),15-13*ORÇAMENTO!$AF$7)/$H19*OFFSET(ORÇAMENTO!$X$15,ROW(AF19)-ROW(AF$15),0),ROUND(ROUND(OFFSET($P19,0,AF$13),15-13*ORÇAMENTO!$AF$7)*OFFSET(ORÇAMENTO!$W$15,ROW(AF19)-ROW(AF$15),0),15-13*ORÇAMENTO!$AF$11)),0)</f>
        <v>0</v>
      </c>
      <c r="AG19" s="627">
        <f ca="1">IF(AND($D19="Serviço",AG$12&lt;&gt;0,$H19&gt;0,OR(AUTOEVENTO&lt;&gt;"manual",$M19&lt;&gt;1)),IF(Import.TipoArredondamento&lt;&gt;"TransfereGOV",ROUND(OFFSET($P19,0,AG$13),15-13*ORÇAMENTO!$AF$7)/$H19*OFFSET(ORÇAMENTO!$X$15,ROW(AG19)-ROW(AG$15),0),ROUND(ROUND(OFFSET($P19,0,AG$13),15-13*ORÇAMENTO!$AF$7)*OFFSET(ORÇAMENTO!$W$15,ROW(AG19)-ROW(AG$15),0),15-13*ORÇAMENTO!$AF$11)),0)</f>
        <v>0</v>
      </c>
      <c r="AH19" s="627">
        <f ca="1">IF(AND($D19="Serviço",AH$12&lt;&gt;0,$H19&gt;0,OR(AUTOEVENTO&lt;&gt;"manual",$M19&lt;&gt;1)),IF(Import.TipoArredondamento&lt;&gt;"TransfereGOV",ROUND(OFFSET($P19,0,AH$13),15-13*ORÇAMENTO!$AF$7)/$H19*OFFSET(ORÇAMENTO!$X$15,ROW(AH19)-ROW(AH$15),0),ROUND(ROUND(OFFSET($P19,0,AH$13),15-13*ORÇAMENTO!$AF$7)*OFFSET(ORÇAMENTO!$W$15,ROW(AH19)-ROW(AH$15),0),15-13*ORÇAMENTO!$AF$11)),0)</f>
        <v>0</v>
      </c>
      <c r="AI19" s="627">
        <f ca="1">IF(AND($D19="Serviço",AI$12&lt;&gt;0,$H19&gt;0,OR(AUTOEVENTO&lt;&gt;"manual",$M19&lt;&gt;1)),IF(Import.TipoArredondamento&lt;&gt;"TransfereGOV",ROUND(OFFSET($P19,0,AI$13),15-13*ORÇAMENTO!$AF$7)/$H19*OFFSET(ORÇAMENTO!$X$15,ROW(AI19)-ROW(AI$15),0),ROUND(ROUND(OFFSET($P19,0,AI$13),15-13*ORÇAMENTO!$AF$7)*OFFSET(ORÇAMENTO!$W$15,ROW(AI19)-ROW(AI$15),0),15-13*ORÇAMENTO!$AF$11)),0)</f>
        <v>0</v>
      </c>
      <c r="AJ19" s="627">
        <f ca="1">IF(AND($D19="Serviço",AJ$12&lt;&gt;0,$H19&gt;0,OR(AUTOEVENTO&lt;&gt;"manual",$M19&lt;&gt;1)),IF(Import.TipoArredondamento&lt;&gt;"TransfereGOV",ROUND(OFFSET($P19,0,AJ$13),15-13*ORÇAMENTO!$AF$7)/$H19*OFFSET(ORÇAMENTO!$X$15,ROW(AJ19)-ROW(AJ$15),0),ROUND(ROUND(OFFSET($P19,0,AJ$13),15-13*ORÇAMENTO!$AF$7)*OFFSET(ORÇAMENTO!$W$15,ROW(AJ19)-ROW(AJ$15),0),15-13*ORÇAMENTO!$AF$11)),0)</f>
        <v>0</v>
      </c>
      <c r="AK19" s="628">
        <f ca="1">IF(AND($D19="Serviço",AK$12&lt;&gt;0,$H19&gt;0,OR(AUTOEVENTO&lt;&gt;"manual",$M19&lt;&gt;1)),IF(Import.TipoArredondamento&lt;&gt;"TransfereGOV",ROUND(OFFSET($P19,0,AK$13),15-13*ORÇAMENTO!$AF$7)/$H19*OFFSET(ORÇAMENTO!$X$15,ROW(AK19)-ROW(AK$15),0),ROUND(ROUND(OFFSET($P19,0,AK$13),15-13*ORÇAMENTO!$AF$7)*OFFSET(ORÇAMENTO!$W$15,ROW(AK19)-ROW(AK$15),0),15-13*ORÇAMENTO!$AF$11)),0)</f>
        <v>0</v>
      </c>
      <c r="AM19" s="211">
        <f ca="1">IF($D19&lt;&gt;"Serviço",0,IF(AND(AUTOEVENTO="Manual",$M19=1),0,IF(OFFSET(CRONOPLE!$F$14,$M19,AM$13)="",10^12,OFFSET(CRONOPLE!$F$14,$M19,AM$13))))</f>
        <v>1000000000000</v>
      </c>
      <c r="AN19" s="211">
        <f ca="1">IF($D19&lt;&gt;"Serviço",0,IF(AND(AUTOEVENTO="Manual",$M19=1),0,IF(OFFSET(CRONOPLE!$F$14,$M19,AN$13)="",10^12,OFFSET(CRONOPLE!$F$14,$M19,AN$13))))</f>
        <v>1000000000000</v>
      </c>
      <c r="AO19" s="211">
        <f ca="1">IF($D19&lt;&gt;"Serviço",0,IF(AND(AUTOEVENTO="Manual",$M19=1),0,IF(OFFSET(CRONOPLE!$F$14,$M19,AO$13)="",10^12,OFFSET(CRONOPLE!$F$14,$M19,AO$13))))</f>
        <v>1000000000000</v>
      </c>
      <c r="AP19" s="211">
        <f ca="1">IF($D19&lt;&gt;"Serviço",0,IF(AND(AUTOEVENTO="Manual",$M19=1),0,IF(OFFSET(CRONOPLE!$F$14,$M19,AP$13)="",10^12,OFFSET(CRONOPLE!$F$14,$M19,AP$13))))</f>
        <v>1000000000000</v>
      </c>
      <c r="AQ19" s="211">
        <f ca="1">IF($D19&lt;&gt;"Serviço",0,IF(AND(AUTOEVENTO="Manual",$M19=1),0,IF(OFFSET(CRONOPLE!$F$14,$M19,AQ$13)="",10^12,OFFSET(CRONOPLE!$F$14,$M19,AQ$13))))</f>
        <v>1000000000000</v>
      </c>
      <c r="AR19" s="211">
        <f ca="1">IF($D19&lt;&gt;"Serviço",0,IF(AND(AUTOEVENTO="Manual",$M19=1),0,IF(OFFSET(CRONOPLE!$F$14,$M19,AR$13)="",10^12,OFFSET(CRONOPLE!$F$14,$M19,AR$13))))</f>
        <v>1000000000000</v>
      </c>
      <c r="AS19" s="211">
        <f ca="1">IF($D19&lt;&gt;"Serviço",0,IF(AND(AUTOEVENTO="Manual",$M19=1),0,IF(OFFSET(CRONOPLE!$F$14,$M19,AS$13)="",10^12,OFFSET(CRONOPLE!$F$14,$M19,AS$13))))</f>
        <v>1000000000000</v>
      </c>
      <c r="AT19" s="211">
        <f ca="1">IF($D19&lt;&gt;"Serviço",0,IF(AND(AUTOEVENTO="Manual",$M19=1),0,IF(OFFSET(CRONOPLE!$F$14,$M19,AT$13)="",10^12,OFFSET(CRONOPLE!$F$14,$M19,AT$13))))</f>
        <v>1000000000000</v>
      </c>
      <c r="AU19" s="211">
        <f ca="1">IF($D19&lt;&gt;"Serviço",0,IF(AND(AUTOEVENTO="Manual",$M19=1),0,IF(OFFSET(CRONOPLE!$F$14,$M19,AU$13)="",10^12,OFFSET(CRONOPLE!$F$14,$M19,AU$13))))</f>
        <v>1000000000000</v>
      </c>
      <c r="AV19" s="211">
        <f ca="1">IF($D19&lt;&gt;"Serviço",0,IF(AND(AUTOEVENTO="Manual",$M19=1),0,IF(OFFSET(CRONOPLE!$F$14,$M19,AV$13)="",10^12,OFFSET(CRONOPLE!$F$14,$M19,AV$13))))</f>
        <v>1000000000000</v>
      </c>
      <c r="AX19" s="212">
        <f ca="1">IF($D19&lt;&gt;"Serviço",0,IF(OR(AND(AUTOEVENTO="Manual",$M19=1),$M19&gt;(ROW(PLE.lastrow)-ROW(PLE.firstrow))),0,IF(OFFSET(PLE!$G$14,$M19,AX$13)="",10^12,OFFSET(PLE!$G$14,$M19,AX$13))))</f>
        <v>1000000000000</v>
      </c>
      <c r="AY19" s="212">
        <f ca="1">IF($D19&lt;&gt;"Serviço",0,IF(OR(AND(AUTOEVENTO="Manual",$M19=1),$M19&gt;(ROW(PLE.lastrow)-ROW(PLE.firstrow))),0,IF(OFFSET(PLE!$G$14,$M19,AY$13)="",10^12,OFFSET(PLE!$G$14,$M19,AY$13))))</f>
        <v>1000000000000</v>
      </c>
      <c r="AZ19" s="212">
        <f ca="1">IF($D19&lt;&gt;"Serviço",0,IF(OR(AND(AUTOEVENTO="Manual",$M19=1),$M19&gt;(ROW(PLE.lastrow)-ROW(PLE.firstrow))),0,IF(OFFSET(PLE!$G$14,$M19,AZ$13)="",10^12,OFFSET(PLE!$G$14,$M19,AZ$13))))</f>
        <v>1000000000000</v>
      </c>
      <c r="BA19" s="212">
        <f ca="1">IF($D19&lt;&gt;"Serviço",0,IF(OR(AND(AUTOEVENTO="Manual",$M19=1),$M19&gt;(ROW(PLE.lastrow)-ROW(PLE.firstrow))),0,IF(OFFSET(PLE!$G$14,$M19,BA$13)="",10^12,OFFSET(PLE!$G$14,$M19,BA$13))))</f>
        <v>1000000000000</v>
      </c>
      <c r="BB19" s="212">
        <f ca="1">IF($D19&lt;&gt;"Serviço",0,IF(OR(AND(AUTOEVENTO="Manual",$M19=1),$M19&gt;(ROW(PLE.lastrow)-ROW(PLE.firstrow))),0,IF(OFFSET(PLE!$G$14,$M19,BB$13)="",10^12,OFFSET(PLE!$G$14,$M19,BB$13))))</f>
        <v>1000000000000</v>
      </c>
      <c r="BC19" s="212">
        <f ca="1">IF($D19&lt;&gt;"Serviço",0,IF(OR(AND(AUTOEVENTO="Manual",$M19=1),$M19&gt;(ROW(PLE.lastrow)-ROW(PLE.firstrow))),0,IF(OFFSET(PLE!$G$14,$M19,BC$13)="",10^12,OFFSET(PLE!$G$14,$M19,BC$13))))</f>
        <v>1000000000000</v>
      </c>
      <c r="BD19" s="212">
        <f ca="1">IF($D19&lt;&gt;"Serviço",0,IF(OR(AND(AUTOEVENTO="Manual",$M19=1),$M19&gt;(ROW(PLE.lastrow)-ROW(PLE.firstrow))),0,IF(OFFSET(PLE!$G$14,$M19,BD$13)="",10^12,OFFSET(PLE!$G$14,$M19,BD$13))))</f>
        <v>1000000000000</v>
      </c>
      <c r="BE19" s="212">
        <f ca="1">IF($D19&lt;&gt;"Serviço",0,IF(OR(AND(AUTOEVENTO="Manual",$M19=1),$M19&gt;(ROW(PLE.lastrow)-ROW(PLE.firstrow))),0,IF(OFFSET(PLE!$G$14,$M19,BE$13)="",10^12,OFFSET(PLE!$G$14,$M19,BE$13))))</f>
        <v>1000000000000</v>
      </c>
      <c r="BF19" s="212">
        <f ca="1">IF($D19&lt;&gt;"Serviço",0,IF(OR(AND(AUTOEVENTO="Manual",$M19=1),$M19&gt;(ROW(PLE.lastrow)-ROW(PLE.firstrow))),0,IF(OFFSET(PLE!$G$14,$M19,BF$13)="",10^12,OFFSET(PLE!$G$14,$M19,BF$13))))</f>
        <v>1000000000000</v>
      </c>
      <c r="BG19" s="212">
        <f ca="1">IF($D19&lt;&gt;"Serviço",0,IF(OR(AND(AUTOEVENTO="Manual",$M19=1),$M19&gt;(ROW(PLE.lastrow)-ROW(PLE.firstrow))),0,IF(OFFSET(PLE!$G$14,$M19,BG$13)="",10^12,OFFSET(PLE!$G$14,$M19,BG$13))))</f>
        <v>1000000000000</v>
      </c>
    </row>
    <row r="20" spans="1:59" ht="76.5">
      <c r="A20" s="9" t="str">
        <f t="shared" ca="1" si="9"/>
        <v>2</v>
      </c>
      <c r="B20" s="9" t="str">
        <f ca="1">OFFSET(ORÇAMENTO!C$15,ROW(B20)-ROW(B$15),0)</f>
        <v>S</v>
      </c>
      <c r="C20" s="9" t="str">
        <f ca="1">OFFSET(ORÇAMENTO!L$15,ROW(C20)-ROW(C$15),0)</f>
        <v/>
      </c>
      <c r="D20" s="141" t="str">
        <f ca="1">OFFSET(ORÇAMENTO!N$15,ROW(D20)-ROW(D$15),0)</f>
        <v>Serviço</v>
      </c>
      <c r="E20" s="201" t="str">
        <f ca="1">OFFSET(ORÇAMENTO!O$15,ROW(E20)-ROW(E$15),0)</f>
        <v>-</v>
      </c>
      <c r="F20" s="202" t="str">
        <f ca="1">OFFSET(ORÇAMENTO!R$15,ROW(F20)-ROW(F$15),0)</f>
        <v>(abra o arquivo 'Referência 07-2024.xlsm)</v>
      </c>
      <c r="G20" s="203" t="str">
        <f ca="1">IF($D20&lt;&gt;"Serviço","",OFFSET(ORÇAMENTO!S$15,ROW(G20)-ROW(G$15),0))</f>
        <v>-</v>
      </c>
      <c r="H20" s="147">
        <f ca="1">IF($D20&lt;&gt;"Serviço",0,IF(ACOMPANHAMENTO="BM",ROUND(OFFSET(ORÇAMENTO!AJ$15,ROW(H20)-ROW(H$15),0),15-13*ORÇAMENTO!$AF$7),SUMPRODUCT(($Q$12:$AA$12&lt;&gt;"")*ROUND($Q20:$AA20,15-13*ORÇAMENTO!$AF$7))))</f>
        <v>2</v>
      </c>
      <c r="I20" s="645" t="s">
        <v>494</v>
      </c>
      <c r="K20" s="204"/>
      <c r="L20" s="205" t="s">
        <v>255</v>
      </c>
      <c r="M20" s="206">
        <f ca="1">IF($D20&lt;&gt;"Serviço","",IF(AUTOEVENTO="manual",$A20,IF(ISERROR(MATCH($A20,$A$15:OFFSET($A20,-1,0),0)),MAX($M$15:OFFSET(M20,-1,0))+1,INDEX($M$15:OFFSET(M20,-1,0),MATCH($A20,$A$15:OFFSET($A20,-1,0),0)))))</f>
        <v>2</v>
      </c>
      <c r="N20" s="207" t="str">
        <f ca="1">IF($D20&lt;&gt;"Serviço","",IF(AUTOEVENTO="Manual",IF($A20=0,"&lt;-- defina o número do agrupador",OFFSET(EVENTOS!$D$14,$A20,0)),OFFSET($F$15,$A20,0)))</f>
        <v>INSTALAÇÕES INICIAIS DA OBRA</v>
      </c>
      <c r="O20" s="208"/>
      <c r="Q20" s="208"/>
      <c r="R20" s="209"/>
      <c r="S20" s="209"/>
      <c r="T20" s="209"/>
      <c r="U20" s="209"/>
      <c r="V20" s="209"/>
      <c r="W20" s="209"/>
      <c r="X20" s="209"/>
      <c r="Y20" s="209"/>
      <c r="Z20" s="210"/>
      <c r="AB20" s="626">
        <f ca="1">IF(AND($D20="Serviço",AB$12&lt;&gt;0,$H20&gt;0,OR(AUTOEVENTO&lt;&gt;"manual",$M20&lt;&gt;1)),IF(Import.TipoArredondamento&lt;&gt;"TransfereGOV",ROUND(OFFSET($P20,0,AB$13),15-13*ORÇAMENTO!$AF$7)/$H20*OFFSET(ORÇAMENTO!$X$15,ROW(AB20)-ROW(AB$15),0),ROUND(ROUND(OFFSET($P20,0,AB$13),15-13*ORÇAMENTO!$AF$7)*OFFSET(ORÇAMENTO!$W$15,ROW(AB20)-ROW(AB$15),0),15-13*ORÇAMENTO!$AF$11)),0)</f>
        <v>0</v>
      </c>
      <c r="AC20" s="627">
        <f ca="1">IF(AND($D20="Serviço",AC$12&lt;&gt;0,$H20&gt;0,OR(AUTOEVENTO&lt;&gt;"manual",$M20&lt;&gt;1)),IF(Import.TipoArredondamento&lt;&gt;"TransfereGOV",ROUND(OFFSET($P20,0,AC$13),15-13*ORÇAMENTO!$AF$7)/$H20*OFFSET(ORÇAMENTO!$X$15,ROW(AC20)-ROW(AC$15),0),ROUND(ROUND(OFFSET($P20,0,AC$13),15-13*ORÇAMENTO!$AF$7)*OFFSET(ORÇAMENTO!$W$15,ROW(AC20)-ROW(AC$15),0),15-13*ORÇAMENTO!$AF$11)),0)</f>
        <v>0</v>
      </c>
      <c r="AD20" s="627">
        <f ca="1">IF(AND($D20="Serviço",AD$12&lt;&gt;0,$H20&gt;0,OR(AUTOEVENTO&lt;&gt;"manual",$M20&lt;&gt;1)),IF(Import.TipoArredondamento&lt;&gt;"TransfereGOV",ROUND(OFFSET($P20,0,AD$13),15-13*ORÇAMENTO!$AF$7)/$H20*OFFSET(ORÇAMENTO!$X$15,ROW(AD20)-ROW(AD$15),0),ROUND(ROUND(OFFSET($P20,0,AD$13),15-13*ORÇAMENTO!$AF$7)*OFFSET(ORÇAMENTO!$W$15,ROW(AD20)-ROW(AD$15),0),15-13*ORÇAMENTO!$AF$11)),0)</f>
        <v>0</v>
      </c>
      <c r="AE20" s="627">
        <f ca="1">IF(AND($D20="Serviço",AE$12&lt;&gt;0,$H20&gt;0,OR(AUTOEVENTO&lt;&gt;"manual",$M20&lt;&gt;1)),IF(Import.TipoArredondamento&lt;&gt;"TransfereGOV",ROUND(OFFSET($P20,0,AE$13),15-13*ORÇAMENTO!$AF$7)/$H20*OFFSET(ORÇAMENTO!$X$15,ROW(AE20)-ROW(AE$15),0),ROUND(ROUND(OFFSET($P20,0,AE$13),15-13*ORÇAMENTO!$AF$7)*OFFSET(ORÇAMENTO!$W$15,ROW(AE20)-ROW(AE$15),0),15-13*ORÇAMENTO!$AF$11)),0)</f>
        <v>0</v>
      </c>
      <c r="AF20" s="627">
        <f ca="1">IF(AND($D20="Serviço",AF$12&lt;&gt;0,$H20&gt;0,OR(AUTOEVENTO&lt;&gt;"manual",$M20&lt;&gt;1)),IF(Import.TipoArredondamento&lt;&gt;"TransfereGOV",ROUND(OFFSET($P20,0,AF$13),15-13*ORÇAMENTO!$AF$7)/$H20*OFFSET(ORÇAMENTO!$X$15,ROW(AF20)-ROW(AF$15),0),ROUND(ROUND(OFFSET($P20,0,AF$13),15-13*ORÇAMENTO!$AF$7)*OFFSET(ORÇAMENTO!$W$15,ROW(AF20)-ROW(AF$15),0),15-13*ORÇAMENTO!$AF$11)),0)</f>
        <v>0</v>
      </c>
      <c r="AG20" s="627">
        <f ca="1">IF(AND($D20="Serviço",AG$12&lt;&gt;0,$H20&gt;0,OR(AUTOEVENTO&lt;&gt;"manual",$M20&lt;&gt;1)),IF(Import.TipoArredondamento&lt;&gt;"TransfereGOV",ROUND(OFFSET($P20,0,AG$13),15-13*ORÇAMENTO!$AF$7)/$H20*OFFSET(ORÇAMENTO!$X$15,ROW(AG20)-ROW(AG$15),0),ROUND(ROUND(OFFSET($P20,0,AG$13),15-13*ORÇAMENTO!$AF$7)*OFFSET(ORÇAMENTO!$W$15,ROW(AG20)-ROW(AG$15),0),15-13*ORÇAMENTO!$AF$11)),0)</f>
        <v>0</v>
      </c>
      <c r="AH20" s="627">
        <f ca="1">IF(AND($D20="Serviço",AH$12&lt;&gt;0,$H20&gt;0,OR(AUTOEVENTO&lt;&gt;"manual",$M20&lt;&gt;1)),IF(Import.TipoArredondamento&lt;&gt;"TransfereGOV",ROUND(OFFSET($P20,0,AH$13),15-13*ORÇAMENTO!$AF$7)/$H20*OFFSET(ORÇAMENTO!$X$15,ROW(AH20)-ROW(AH$15),0),ROUND(ROUND(OFFSET($P20,0,AH$13),15-13*ORÇAMENTO!$AF$7)*OFFSET(ORÇAMENTO!$W$15,ROW(AH20)-ROW(AH$15),0),15-13*ORÇAMENTO!$AF$11)),0)</f>
        <v>0</v>
      </c>
      <c r="AI20" s="627">
        <f ca="1">IF(AND($D20="Serviço",AI$12&lt;&gt;0,$H20&gt;0,OR(AUTOEVENTO&lt;&gt;"manual",$M20&lt;&gt;1)),IF(Import.TipoArredondamento&lt;&gt;"TransfereGOV",ROUND(OFFSET($P20,0,AI$13),15-13*ORÇAMENTO!$AF$7)/$H20*OFFSET(ORÇAMENTO!$X$15,ROW(AI20)-ROW(AI$15),0),ROUND(ROUND(OFFSET($P20,0,AI$13),15-13*ORÇAMENTO!$AF$7)*OFFSET(ORÇAMENTO!$W$15,ROW(AI20)-ROW(AI$15),0),15-13*ORÇAMENTO!$AF$11)),0)</f>
        <v>0</v>
      </c>
      <c r="AJ20" s="627">
        <f ca="1">IF(AND($D20="Serviço",AJ$12&lt;&gt;0,$H20&gt;0,OR(AUTOEVENTO&lt;&gt;"manual",$M20&lt;&gt;1)),IF(Import.TipoArredondamento&lt;&gt;"TransfereGOV",ROUND(OFFSET($P20,0,AJ$13),15-13*ORÇAMENTO!$AF$7)/$H20*OFFSET(ORÇAMENTO!$X$15,ROW(AJ20)-ROW(AJ$15),0),ROUND(ROUND(OFFSET($P20,0,AJ$13),15-13*ORÇAMENTO!$AF$7)*OFFSET(ORÇAMENTO!$W$15,ROW(AJ20)-ROW(AJ$15),0),15-13*ORÇAMENTO!$AF$11)),0)</f>
        <v>0</v>
      </c>
      <c r="AK20" s="628">
        <f ca="1">IF(AND($D20="Serviço",AK$12&lt;&gt;0,$H20&gt;0,OR(AUTOEVENTO&lt;&gt;"manual",$M20&lt;&gt;1)),IF(Import.TipoArredondamento&lt;&gt;"TransfereGOV",ROUND(OFFSET($P20,0,AK$13),15-13*ORÇAMENTO!$AF$7)/$H20*OFFSET(ORÇAMENTO!$X$15,ROW(AK20)-ROW(AK$15),0),ROUND(ROUND(OFFSET($P20,0,AK$13),15-13*ORÇAMENTO!$AF$7)*OFFSET(ORÇAMENTO!$W$15,ROW(AK20)-ROW(AK$15),0),15-13*ORÇAMENTO!$AF$11)),0)</f>
        <v>0</v>
      </c>
      <c r="AM20" s="211">
        <f ca="1">IF($D20&lt;&gt;"Serviço",0,IF(AND(AUTOEVENTO="Manual",$M20=1),0,IF(OFFSET(CRONOPLE!$F$14,$M20,AM$13)="",10^12,OFFSET(CRONOPLE!$F$14,$M20,AM$13))))</f>
        <v>1000000000000</v>
      </c>
      <c r="AN20" s="211">
        <f ca="1">IF($D20&lt;&gt;"Serviço",0,IF(AND(AUTOEVENTO="Manual",$M20=1),0,IF(OFFSET(CRONOPLE!$F$14,$M20,AN$13)="",10^12,OFFSET(CRONOPLE!$F$14,$M20,AN$13))))</f>
        <v>1000000000000</v>
      </c>
      <c r="AO20" s="211">
        <f ca="1">IF($D20&lt;&gt;"Serviço",0,IF(AND(AUTOEVENTO="Manual",$M20=1),0,IF(OFFSET(CRONOPLE!$F$14,$M20,AO$13)="",10^12,OFFSET(CRONOPLE!$F$14,$M20,AO$13))))</f>
        <v>1000000000000</v>
      </c>
      <c r="AP20" s="211">
        <f ca="1">IF($D20&lt;&gt;"Serviço",0,IF(AND(AUTOEVENTO="Manual",$M20=1),0,IF(OFFSET(CRONOPLE!$F$14,$M20,AP$13)="",10^12,OFFSET(CRONOPLE!$F$14,$M20,AP$13))))</f>
        <v>1000000000000</v>
      </c>
      <c r="AQ20" s="211">
        <f ca="1">IF($D20&lt;&gt;"Serviço",0,IF(AND(AUTOEVENTO="Manual",$M20=1),0,IF(OFFSET(CRONOPLE!$F$14,$M20,AQ$13)="",10^12,OFFSET(CRONOPLE!$F$14,$M20,AQ$13))))</f>
        <v>1000000000000</v>
      </c>
      <c r="AR20" s="211">
        <f ca="1">IF($D20&lt;&gt;"Serviço",0,IF(AND(AUTOEVENTO="Manual",$M20=1),0,IF(OFFSET(CRONOPLE!$F$14,$M20,AR$13)="",10^12,OFFSET(CRONOPLE!$F$14,$M20,AR$13))))</f>
        <v>1000000000000</v>
      </c>
      <c r="AS20" s="211">
        <f ca="1">IF($D20&lt;&gt;"Serviço",0,IF(AND(AUTOEVENTO="Manual",$M20=1),0,IF(OFFSET(CRONOPLE!$F$14,$M20,AS$13)="",10^12,OFFSET(CRONOPLE!$F$14,$M20,AS$13))))</f>
        <v>1000000000000</v>
      </c>
      <c r="AT20" s="211">
        <f ca="1">IF($D20&lt;&gt;"Serviço",0,IF(AND(AUTOEVENTO="Manual",$M20=1),0,IF(OFFSET(CRONOPLE!$F$14,$M20,AT$13)="",10^12,OFFSET(CRONOPLE!$F$14,$M20,AT$13))))</f>
        <v>1000000000000</v>
      </c>
      <c r="AU20" s="211">
        <f ca="1">IF($D20&lt;&gt;"Serviço",0,IF(AND(AUTOEVENTO="Manual",$M20=1),0,IF(OFFSET(CRONOPLE!$F$14,$M20,AU$13)="",10^12,OFFSET(CRONOPLE!$F$14,$M20,AU$13))))</f>
        <v>1000000000000</v>
      </c>
      <c r="AV20" s="211">
        <f ca="1">IF($D20&lt;&gt;"Serviço",0,IF(AND(AUTOEVENTO="Manual",$M20=1),0,IF(OFFSET(CRONOPLE!$F$14,$M20,AV$13)="",10^12,OFFSET(CRONOPLE!$F$14,$M20,AV$13))))</f>
        <v>1000000000000</v>
      </c>
      <c r="AX20" s="212">
        <f ca="1">IF($D20&lt;&gt;"Serviço",0,IF(OR(AND(AUTOEVENTO="Manual",$M20=1),$M20&gt;(ROW(PLE.lastrow)-ROW(PLE.firstrow))),0,IF(OFFSET(PLE!$G$14,$M20,AX$13)="",10^12,OFFSET(PLE!$G$14,$M20,AX$13))))</f>
        <v>1000000000000</v>
      </c>
      <c r="AY20" s="212">
        <f ca="1">IF($D20&lt;&gt;"Serviço",0,IF(OR(AND(AUTOEVENTO="Manual",$M20=1),$M20&gt;(ROW(PLE.lastrow)-ROW(PLE.firstrow))),0,IF(OFFSET(PLE!$G$14,$M20,AY$13)="",10^12,OFFSET(PLE!$G$14,$M20,AY$13))))</f>
        <v>1000000000000</v>
      </c>
      <c r="AZ20" s="212">
        <f ca="1">IF($D20&lt;&gt;"Serviço",0,IF(OR(AND(AUTOEVENTO="Manual",$M20=1),$M20&gt;(ROW(PLE.lastrow)-ROW(PLE.firstrow))),0,IF(OFFSET(PLE!$G$14,$M20,AZ$13)="",10^12,OFFSET(PLE!$G$14,$M20,AZ$13))))</f>
        <v>1000000000000</v>
      </c>
      <c r="BA20" s="212">
        <f ca="1">IF($D20&lt;&gt;"Serviço",0,IF(OR(AND(AUTOEVENTO="Manual",$M20=1),$M20&gt;(ROW(PLE.lastrow)-ROW(PLE.firstrow))),0,IF(OFFSET(PLE!$G$14,$M20,BA$13)="",10^12,OFFSET(PLE!$G$14,$M20,BA$13))))</f>
        <v>1000000000000</v>
      </c>
      <c r="BB20" s="212">
        <f ca="1">IF($D20&lt;&gt;"Serviço",0,IF(OR(AND(AUTOEVENTO="Manual",$M20=1),$M20&gt;(ROW(PLE.lastrow)-ROW(PLE.firstrow))),0,IF(OFFSET(PLE!$G$14,$M20,BB$13)="",10^12,OFFSET(PLE!$G$14,$M20,BB$13))))</f>
        <v>1000000000000</v>
      </c>
      <c r="BC20" s="212">
        <f ca="1">IF($D20&lt;&gt;"Serviço",0,IF(OR(AND(AUTOEVENTO="Manual",$M20=1),$M20&gt;(ROW(PLE.lastrow)-ROW(PLE.firstrow))),0,IF(OFFSET(PLE!$G$14,$M20,BC$13)="",10^12,OFFSET(PLE!$G$14,$M20,BC$13))))</f>
        <v>1000000000000</v>
      </c>
      <c r="BD20" s="212">
        <f ca="1">IF($D20&lt;&gt;"Serviço",0,IF(OR(AND(AUTOEVENTO="Manual",$M20=1),$M20&gt;(ROW(PLE.lastrow)-ROW(PLE.firstrow))),0,IF(OFFSET(PLE!$G$14,$M20,BD$13)="",10^12,OFFSET(PLE!$G$14,$M20,BD$13))))</f>
        <v>1000000000000</v>
      </c>
      <c r="BE20" s="212">
        <f ca="1">IF($D20&lt;&gt;"Serviço",0,IF(OR(AND(AUTOEVENTO="Manual",$M20=1),$M20&gt;(ROW(PLE.lastrow)-ROW(PLE.firstrow))),0,IF(OFFSET(PLE!$G$14,$M20,BE$13)="",10^12,OFFSET(PLE!$G$14,$M20,BE$13))))</f>
        <v>1000000000000</v>
      </c>
      <c r="BF20" s="212">
        <f ca="1">IF($D20&lt;&gt;"Serviço",0,IF(OR(AND(AUTOEVENTO="Manual",$M20=1),$M20&gt;(ROW(PLE.lastrow)-ROW(PLE.firstrow))),0,IF(OFFSET(PLE!$G$14,$M20,BF$13)="",10^12,OFFSET(PLE!$G$14,$M20,BF$13))))</f>
        <v>1000000000000</v>
      </c>
      <c r="BG20" s="212">
        <f ca="1">IF($D20&lt;&gt;"Serviço",0,IF(OR(AND(AUTOEVENTO="Manual",$M20=1),$M20&gt;(ROW(PLE.lastrow)-ROW(PLE.firstrow))),0,IF(OFFSET(PLE!$G$14,$M20,BG$13)="",10^12,OFFSET(PLE!$G$14,$M20,BG$13))))</f>
        <v>1000000000000</v>
      </c>
    </row>
    <row r="21" spans="1:59" ht="38.25">
      <c r="A21" s="9" t="str">
        <f t="shared" ca="1" si="9"/>
        <v>2</v>
      </c>
      <c r="B21" s="9" t="str">
        <f ca="1">OFFSET(ORÇAMENTO!C$15,ROW(B21)-ROW(B$15),0)</f>
        <v>S</v>
      </c>
      <c r="C21" s="9" t="str">
        <f ca="1">OFFSET(ORÇAMENTO!L$15,ROW(C21)-ROW(C$15),0)</f>
        <v/>
      </c>
      <c r="D21" s="141" t="str">
        <f ca="1">OFFSET(ORÇAMENTO!N$15,ROW(D21)-ROW(D$15),0)</f>
        <v>Serviço</v>
      </c>
      <c r="E21" s="201" t="str">
        <f ca="1">OFFSET(ORÇAMENTO!O$15,ROW(E21)-ROW(E$15),0)</f>
        <v>-</v>
      </c>
      <c r="F21" s="202" t="str">
        <f ca="1">OFFSET(ORÇAMENTO!R$15,ROW(F21)-ROW(F$15),0)</f>
        <v>(abra o arquivo 'Referência 07-2024.xlsm)</v>
      </c>
      <c r="G21" s="203" t="str">
        <f ca="1">IF($D21&lt;&gt;"Serviço","",OFFSET(ORÇAMENTO!S$15,ROW(G21)-ROW(G$15),0))</f>
        <v>-</v>
      </c>
      <c r="H21" s="147">
        <f ca="1">IF($D21&lt;&gt;"Serviço",0,IF(ACOMPANHAMENTO="BM",ROUND(OFFSET(ORÇAMENTO!AJ$15,ROW(H21)-ROW(H$15),0),15-13*ORÇAMENTO!$AF$7),SUMPRODUCT(($Q$12:$AA$12&lt;&gt;"")*ROUND($Q21:$AA21,15-13*ORÇAMENTO!$AF$7))))</f>
        <v>1</v>
      </c>
      <c r="I21" s="645" t="s">
        <v>470</v>
      </c>
      <c r="K21" s="204"/>
      <c r="L21" s="205" t="s">
        <v>255</v>
      </c>
      <c r="M21" s="206">
        <f ca="1">IF($D21&lt;&gt;"Serviço","",IF(AUTOEVENTO="manual",$A21,IF(ISERROR(MATCH($A21,$A$15:OFFSET($A21,-1,0),0)),MAX($M$15:OFFSET(M21,-1,0))+1,INDEX($M$15:OFFSET(M21,-1,0),MATCH($A21,$A$15:OFFSET($A21,-1,0),0)))))</f>
        <v>2</v>
      </c>
      <c r="N21" s="207" t="str">
        <f ca="1">IF($D21&lt;&gt;"Serviço","",IF(AUTOEVENTO="Manual",IF($A21=0,"&lt;-- defina o número do agrupador",OFFSET(EVENTOS!$D$14,$A21,0)),OFFSET($F$15,$A21,0)))</f>
        <v>INSTALAÇÕES INICIAIS DA OBRA</v>
      </c>
      <c r="O21" s="208"/>
      <c r="Q21" s="208"/>
      <c r="R21" s="209"/>
      <c r="S21" s="209"/>
      <c r="T21" s="209"/>
      <c r="U21" s="209"/>
      <c r="V21" s="209"/>
      <c r="W21" s="209"/>
      <c r="X21" s="209"/>
      <c r="Y21" s="209"/>
      <c r="Z21" s="210"/>
      <c r="AB21" s="626">
        <f ca="1">IF(AND($D21="Serviço",AB$12&lt;&gt;0,$H21&gt;0,OR(AUTOEVENTO&lt;&gt;"manual",$M21&lt;&gt;1)),IF(Import.TipoArredondamento&lt;&gt;"TransfereGOV",ROUND(OFFSET($P21,0,AB$13),15-13*ORÇAMENTO!$AF$7)/$H21*OFFSET(ORÇAMENTO!$X$15,ROW(AB21)-ROW(AB$15),0),ROUND(ROUND(OFFSET($P21,0,AB$13),15-13*ORÇAMENTO!$AF$7)*OFFSET(ORÇAMENTO!$W$15,ROW(AB21)-ROW(AB$15),0),15-13*ORÇAMENTO!$AF$11)),0)</f>
        <v>0</v>
      </c>
      <c r="AC21" s="627">
        <f ca="1">IF(AND($D21="Serviço",AC$12&lt;&gt;0,$H21&gt;0,OR(AUTOEVENTO&lt;&gt;"manual",$M21&lt;&gt;1)),IF(Import.TipoArredondamento&lt;&gt;"TransfereGOV",ROUND(OFFSET($P21,0,AC$13),15-13*ORÇAMENTO!$AF$7)/$H21*OFFSET(ORÇAMENTO!$X$15,ROW(AC21)-ROW(AC$15),0),ROUND(ROUND(OFFSET($P21,0,AC$13),15-13*ORÇAMENTO!$AF$7)*OFFSET(ORÇAMENTO!$W$15,ROW(AC21)-ROW(AC$15),0),15-13*ORÇAMENTO!$AF$11)),0)</f>
        <v>0</v>
      </c>
      <c r="AD21" s="627">
        <f ca="1">IF(AND($D21="Serviço",AD$12&lt;&gt;0,$H21&gt;0,OR(AUTOEVENTO&lt;&gt;"manual",$M21&lt;&gt;1)),IF(Import.TipoArredondamento&lt;&gt;"TransfereGOV",ROUND(OFFSET($P21,0,AD$13),15-13*ORÇAMENTO!$AF$7)/$H21*OFFSET(ORÇAMENTO!$X$15,ROW(AD21)-ROW(AD$15),0),ROUND(ROUND(OFFSET($P21,0,AD$13),15-13*ORÇAMENTO!$AF$7)*OFFSET(ORÇAMENTO!$W$15,ROW(AD21)-ROW(AD$15),0),15-13*ORÇAMENTO!$AF$11)),0)</f>
        <v>0</v>
      </c>
      <c r="AE21" s="627">
        <f ca="1">IF(AND($D21="Serviço",AE$12&lt;&gt;0,$H21&gt;0,OR(AUTOEVENTO&lt;&gt;"manual",$M21&lt;&gt;1)),IF(Import.TipoArredondamento&lt;&gt;"TransfereGOV",ROUND(OFFSET($P21,0,AE$13),15-13*ORÇAMENTO!$AF$7)/$H21*OFFSET(ORÇAMENTO!$X$15,ROW(AE21)-ROW(AE$15),0),ROUND(ROUND(OFFSET($P21,0,AE$13),15-13*ORÇAMENTO!$AF$7)*OFFSET(ORÇAMENTO!$W$15,ROW(AE21)-ROW(AE$15),0),15-13*ORÇAMENTO!$AF$11)),0)</f>
        <v>0</v>
      </c>
      <c r="AF21" s="627">
        <f ca="1">IF(AND($D21="Serviço",AF$12&lt;&gt;0,$H21&gt;0,OR(AUTOEVENTO&lt;&gt;"manual",$M21&lt;&gt;1)),IF(Import.TipoArredondamento&lt;&gt;"TransfereGOV",ROUND(OFFSET($P21,0,AF$13),15-13*ORÇAMENTO!$AF$7)/$H21*OFFSET(ORÇAMENTO!$X$15,ROW(AF21)-ROW(AF$15),0),ROUND(ROUND(OFFSET($P21,0,AF$13),15-13*ORÇAMENTO!$AF$7)*OFFSET(ORÇAMENTO!$W$15,ROW(AF21)-ROW(AF$15),0),15-13*ORÇAMENTO!$AF$11)),0)</f>
        <v>0</v>
      </c>
      <c r="AG21" s="627">
        <f ca="1">IF(AND($D21="Serviço",AG$12&lt;&gt;0,$H21&gt;0,OR(AUTOEVENTO&lt;&gt;"manual",$M21&lt;&gt;1)),IF(Import.TipoArredondamento&lt;&gt;"TransfereGOV",ROUND(OFFSET($P21,0,AG$13),15-13*ORÇAMENTO!$AF$7)/$H21*OFFSET(ORÇAMENTO!$X$15,ROW(AG21)-ROW(AG$15),0),ROUND(ROUND(OFFSET($P21,0,AG$13),15-13*ORÇAMENTO!$AF$7)*OFFSET(ORÇAMENTO!$W$15,ROW(AG21)-ROW(AG$15),0),15-13*ORÇAMENTO!$AF$11)),0)</f>
        <v>0</v>
      </c>
      <c r="AH21" s="627">
        <f ca="1">IF(AND($D21="Serviço",AH$12&lt;&gt;0,$H21&gt;0,OR(AUTOEVENTO&lt;&gt;"manual",$M21&lt;&gt;1)),IF(Import.TipoArredondamento&lt;&gt;"TransfereGOV",ROUND(OFFSET($P21,0,AH$13),15-13*ORÇAMENTO!$AF$7)/$H21*OFFSET(ORÇAMENTO!$X$15,ROW(AH21)-ROW(AH$15),0),ROUND(ROUND(OFFSET($P21,0,AH$13),15-13*ORÇAMENTO!$AF$7)*OFFSET(ORÇAMENTO!$W$15,ROW(AH21)-ROW(AH$15),0),15-13*ORÇAMENTO!$AF$11)),0)</f>
        <v>0</v>
      </c>
      <c r="AI21" s="627">
        <f ca="1">IF(AND($D21="Serviço",AI$12&lt;&gt;0,$H21&gt;0,OR(AUTOEVENTO&lt;&gt;"manual",$M21&lt;&gt;1)),IF(Import.TipoArredondamento&lt;&gt;"TransfereGOV",ROUND(OFFSET($P21,0,AI$13),15-13*ORÇAMENTO!$AF$7)/$H21*OFFSET(ORÇAMENTO!$X$15,ROW(AI21)-ROW(AI$15),0),ROUND(ROUND(OFFSET($P21,0,AI$13),15-13*ORÇAMENTO!$AF$7)*OFFSET(ORÇAMENTO!$W$15,ROW(AI21)-ROW(AI$15),0),15-13*ORÇAMENTO!$AF$11)),0)</f>
        <v>0</v>
      </c>
      <c r="AJ21" s="627">
        <f ca="1">IF(AND($D21="Serviço",AJ$12&lt;&gt;0,$H21&gt;0,OR(AUTOEVENTO&lt;&gt;"manual",$M21&lt;&gt;1)),IF(Import.TipoArredondamento&lt;&gt;"TransfereGOV",ROUND(OFFSET($P21,0,AJ$13),15-13*ORÇAMENTO!$AF$7)/$H21*OFFSET(ORÇAMENTO!$X$15,ROW(AJ21)-ROW(AJ$15),0),ROUND(ROUND(OFFSET($P21,0,AJ$13),15-13*ORÇAMENTO!$AF$7)*OFFSET(ORÇAMENTO!$W$15,ROW(AJ21)-ROW(AJ$15),0),15-13*ORÇAMENTO!$AF$11)),0)</f>
        <v>0</v>
      </c>
      <c r="AK21" s="628">
        <f ca="1">IF(AND($D21="Serviço",AK$12&lt;&gt;0,$H21&gt;0,OR(AUTOEVENTO&lt;&gt;"manual",$M21&lt;&gt;1)),IF(Import.TipoArredondamento&lt;&gt;"TransfereGOV",ROUND(OFFSET($P21,0,AK$13),15-13*ORÇAMENTO!$AF$7)/$H21*OFFSET(ORÇAMENTO!$X$15,ROW(AK21)-ROW(AK$15),0),ROUND(ROUND(OFFSET($P21,0,AK$13),15-13*ORÇAMENTO!$AF$7)*OFFSET(ORÇAMENTO!$W$15,ROW(AK21)-ROW(AK$15),0),15-13*ORÇAMENTO!$AF$11)),0)</f>
        <v>0</v>
      </c>
      <c r="AM21" s="211">
        <f ca="1">IF($D21&lt;&gt;"Serviço",0,IF(AND(AUTOEVENTO="Manual",$M21=1),0,IF(OFFSET(CRONOPLE!$F$14,$M21,AM$13)="",10^12,OFFSET(CRONOPLE!$F$14,$M21,AM$13))))</f>
        <v>1000000000000</v>
      </c>
      <c r="AN21" s="211">
        <f ca="1">IF($D21&lt;&gt;"Serviço",0,IF(AND(AUTOEVENTO="Manual",$M21=1),0,IF(OFFSET(CRONOPLE!$F$14,$M21,AN$13)="",10^12,OFFSET(CRONOPLE!$F$14,$M21,AN$13))))</f>
        <v>1000000000000</v>
      </c>
      <c r="AO21" s="211">
        <f ca="1">IF($D21&lt;&gt;"Serviço",0,IF(AND(AUTOEVENTO="Manual",$M21=1),0,IF(OFFSET(CRONOPLE!$F$14,$M21,AO$13)="",10^12,OFFSET(CRONOPLE!$F$14,$M21,AO$13))))</f>
        <v>1000000000000</v>
      </c>
      <c r="AP21" s="211">
        <f ca="1">IF($D21&lt;&gt;"Serviço",0,IF(AND(AUTOEVENTO="Manual",$M21=1),0,IF(OFFSET(CRONOPLE!$F$14,$M21,AP$13)="",10^12,OFFSET(CRONOPLE!$F$14,$M21,AP$13))))</f>
        <v>1000000000000</v>
      </c>
      <c r="AQ21" s="211">
        <f ca="1">IF($D21&lt;&gt;"Serviço",0,IF(AND(AUTOEVENTO="Manual",$M21=1),0,IF(OFFSET(CRONOPLE!$F$14,$M21,AQ$13)="",10^12,OFFSET(CRONOPLE!$F$14,$M21,AQ$13))))</f>
        <v>1000000000000</v>
      </c>
      <c r="AR21" s="211">
        <f ca="1">IF($D21&lt;&gt;"Serviço",0,IF(AND(AUTOEVENTO="Manual",$M21=1),0,IF(OFFSET(CRONOPLE!$F$14,$M21,AR$13)="",10^12,OFFSET(CRONOPLE!$F$14,$M21,AR$13))))</f>
        <v>1000000000000</v>
      </c>
      <c r="AS21" s="211">
        <f ca="1">IF($D21&lt;&gt;"Serviço",0,IF(AND(AUTOEVENTO="Manual",$M21=1),0,IF(OFFSET(CRONOPLE!$F$14,$M21,AS$13)="",10^12,OFFSET(CRONOPLE!$F$14,$M21,AS$13))))</f>
        <v>1000000000000</v>
      </c>
      <c r="AT21" s="211">
        <f ca="1">IF($D21&lt;&gt;"Serviço",0,IF(AND(AUTOEVENTO="Manual",$M21=1),0,IF(OFFSET(CRONOPLE!$F$14,$M21,AT$13)="",10^12,OFFSET(CRONOPLE!$F$14,$M21,AT$13))))</f>
        <v>1000000000000</v>
      </c>
      <c r="AU21" s="211">
        <f ca="1">IF($D21&lt;&gt;"Serviço",0,IF(AND(AUTOEVENTO="Manual",$M21=1),0,IF(OFFSET(CRONOPLE!$F$14,$M21,AU$13)="",10^12,OFFSET(CRONOPLE!$F$14,$M21,AU$13))))</f>
        <v>1000000000000</v>
      </c>
      <c r="AV21" s="211">
        <f ca="1">IF($D21&lt;&gt;"Serviço",0,IF(AND(AUTOEVENTO="Manual",$M21=1),0,IF(OFFSET(CRONOPLE!$F$14,$M21,AV$13)="",10^12,OFFSET(CRONOPLE!$F$14,$M21,AV$13))))</f>
        <v>1000000000000</v>
      </c>
      <c r="AX21" s="212">
        <f ca="1">IF($D21&lt;&gt;"Serviço",0,IF(OR(AND(AUTOEVENTO="Manual",$M21=1),$M21&gt;(ROW(PLE.lastrow)-ROW(PLE.firstrow))),0,IF(OFFSET(PLE!$G$14,$M21,AX$13)="",10^12,OFFSET(PLE!$G$14,$M21,AX$13))))</f>
        <v>1000000000000</v>
      </c>
      <c r="AY21" s="212">
        <f ca="1">IF($D21&lt;&gt;"Serviço",0,IF(OR(AND(AUTOEVENTO="Manual",$M21=1),$M21&gt;(ROW(PLE.lastrow)-ROW(PLE.firstrow))),0,IF(OFFSET(PLE!$G$14,$M21,AY$13)="",10^12,OFFSET(PLE!$G$14,$M21,AY$13))))</f>
        <v>1000000000000</v>
      </c>
      <c r="AZ21" s="212">
        <f ca="1">IF($D21&lt;&gt;"Serviço",0,IF(OR(AND(AUTOEVENTO="Manual",$M21=1),$M21&gt;(ROW(PLE.lastrow)-ROW(PLE.firstrow))),0,IF(OFFSET(PLE!$G$14,$M21,AZ$13)="",10^12,OFFSET(PLE!$G$14,$M21,AZ$13))))</f>
        <v>1000000000000</v>
      </c>
      <c r="BA21" s="212">
        <f ca="1">IF($D21&lt;&gt;"Serviço",0,IF(OR(AND(AUTOEVENTO="Manual",$M21=1),$M21&gt;(ROW(PLE.lastrow)-ROW(PLE.firstrow))),0,IF(OFFSET(PLE!$G$14,$M21,BA$13)="",10^12,OFFSET(PLE!$G$14,$M21,BA$13))))</f>
        <v>1000000000000</v>
      </c>
      <c r="BB21" s="212">
        <f ca="1">IF($D21&lt;&gt;"Serviço",0,IF(OR(AND(AUTOEVENTO="Manual",$M21=1),$M21&gt;(ROW(PLE.lastrow)-ROW(PLE.firstrow))),0,IF(OFFSET(PLE!$G$14,$M21,BB$13)="",10^12,OFFSET(PLE!$G$14,$M21,BB$13))))</f>
        <v>1000000000000</v>
      </c>
      <c r="BC21" s="212">
        <f ca="1">IF($D21&lt;&gt;"Serviço",0,IF(OR(AND(AUTOEVENTO="Manual",$M21=1),$M21&gt;(ROW(PLE.lastrow)-ROW(PLE.firstrow))),0,IF(OFFSET(PLE!$G$14,$M21,BC$13)="",10^12,OFFSET(PLE!$G$14,$M21,BC$13))))</f>
        <v>1000000000000</v>
      </c>
      <c r="BD21" s="212">
        <f ca="1">IF($D21&lt;&gt;"Serviço",0,IF(OR(AND(AUTOEVENTO="Manual",$M21=1),$M21&gt;(ROW(PLE.lastrow)-ROW(PLE.firstrow))),0,IF(OFFSET(PLE!$G$14,$M21,BD$13)="",10^12,OFFSET(PLE!$G$14,$M21,BD$13))))</f>
        <v>1000000000000</v>
      </c>
      <c r="BE21" s="212">
        <f ca="1">IF($D21&lt;&gt;"Serviço",0,IF(OR(AND(AUTOEVENTO="Manual",$M21=1),$M21&gt;(ROW(PLE.lastrow)-ROW(PLE.firstrow))),0,IF(OFFSET(PLE!$G$14,$M21,BE$13)="",10^12,OFFSET(PLE!$G$14,$M21,BE$13))))</f>
        <v>1000000000000</v>
      </c>
      <c r="BF21" s="212">
        <f ca="1">IF($D21&lt;&gt;"Serviço",0,IF(OR(AND(AUTOEVENTO="Manual",$M21=1),$M21&gt;(ROW(PLE.lastrow)-ROW(PLE.firstrow))),0,IF(OFFSET(PLE!$G$14,$M21,BF$13)="",10^12,OFFSET(PLE!$G$14,$M21,BF$13))))</f>
        <v>1000000000000</v>
      </c>
      <c r="BG21" s="212">
        <f ca="1">IF($D21&lt;&gt;"Serviço",0,IF(OR(AND(AUTOEVENTO="Manual",$M21=1),$M21&gt;(ROW(PLE.lastrow)-ROW(PLE.firstrow))),0,IF(OFFSET(PLE!$G$14,$M21,BG$13)="",10^12,OFFSET(PLE!$G$14,$M21,BG$13))))</f>
        <v>1000000000000</v>
      </c>
    </row>
    <row r="22" spans="1:59" ht="25.5">
      <c r="A22" s="9" t="str">
        <f t="shared" ca="1" si="9"/>
        <v>2</v>
      </c>
      <c r="B22" s="9" t="str">
        <f ca="1">OFFSET(ORÇAMENTO!C$15,ROW(B22)-ROW(B$15),0)</f>
        <v>S</v>
      </c>
      <c r="C22" s="9" t="str">
        <f ca="1">OFFSET(ORÇAMENTO!L$15,ROW(C22)-ROW(C$15),0)</f>
        <v/>
      </c>
      <c r="D22" s="141" t="str">
        <f ca="1">OFFSET(ORÇAMENTO!N$15,ROW(D22)-ROW(D$15),0)</f>
        <v>Serviço</v>
      </c>
      <c r="E22" s="201" t="str">
        <f ca="1">OFFSET(ORÇAMENTO!O$15,ROW(E22)-ROW(E$15),0)</f>
        <v>-</v>
      </c>
      <c r="F22" s="202" t="str">
        <f ca="1">OFFSET(ORÇAMENTO!R$15,ROW(F22)-ROW(F$15),0)</f>
        <v>(abra o arquivo 'Referência 07-2024.xlsm)</v>
      </c>
      <c r="G22" s="203" t="str">
        <f ca="1">IF($D22&lt;&gt;"Serviço","",OFFSET(ORÇAMENTO!S$15,ROW(G22)-ROW(G$15),0))</f>
        <v>-</v>
      </c>
      <c r="H22" s="147">
        <f ca="1">IF($D22&lt;&gt;"Serviço",0,IF(ACOMPANHAMENTO="BM",ROUND(OFFSET(ORÇAMENTO!AJ$15,ROW(H22)-ROW(H$15),0),15-13*ORÇAMENTO!$AF$7),SUMPRODUCT(($Q$12:$AA$12&lt;&gt;"")*ROUND($Q22:$AA22,15-13*ORÇAMENTO!$AF$7))))</f>
        <v>55</v>
      </c>
      <c r="I22" s="645" t="s">
        <v>478</v>
      </c>
      <c r="K22" s="204"/>
      <c r="L22" s="205" t="s">
        <v>255</v>
      </c>
      <c r="M22" s="206">
        <f ca="1">IF($D22&lt;&gt;"Serviço","",IF(AUTOEVENTO="manual",$A22,IF(ISERROR(MATCH($A22,$A$15:OFFSET($A22,-1,0),0)),MAX($M$15:OFFSET(M22,-1,0))+1,INDEX($M$15:OFFSET(M22,-1,0),MATCH($A22,$A$15:OFFSET($A22,-1,0),0)))))</f>
        <v>2</v>
      </c>
      <c r="N22" s="207" t="str">
        <f ca="1">IF($D22&lt;&gt;"Serviço","",IF(AUTOEVENTO="Manual",IF($A22=0,"&lt;-- defina o número do agrupador",OFFSET(EVENTOS!$D$14,$A22,0)),OFFSET($F$15,$A22,0)))</f>
        <v>INSTALAÇÕES INICIAIS DA OBRA</v>
      </c>
      <c r="O22" s="208"/>
      <c r="Q22" s="208"/>
      <c r="R22" s="209"/>
      <c r="S22" s="209"/>
      <c r="T22" s="209"/>
      <c r="U22" s="209"/>
      <c r="V22" s="209"/>
      <c r="W22" s="209"/>
      <c r="X22" s="209"/>
      <c r="Y22" s="209"/>
      <c r="Z22" s="210"/>
      <c r="AB22" s="626">
        <f ca="1">IF(AND($D22="Serviço",AB$12&lt;&gt;0,$H22&gt;0,OR(AUTOEVENTO&lt;&gt;"manual",$M22&lt;&gt;1)),IF(Import.TipoArredondamento&lt;&gt;"TransfereGOV",ROUND(OFFSET($P22,0,AB$13),15-13*ORÇAMENTO!$AF$7)/$H22*OFFSET(ORÇAMENTO!$X$15,ROW(AB22)-ROW(AB$15),0),ROUND(ROUND(OFFSET($P22,0,AB$13),15-13*ORÇAMENTO!$AF$7)*OFFSET(ORÇAMENTO!$W$15,ROW(AB22)-ROW(AB$15),0),15-13*ORÇAMENTO!$AF$11)),0)</f>
        <v>0</v>
      </c>
      <c r="AC22" s="627">
        <f ca="1">IF(AND($D22="Serviço",AC$12&lt;&gt;0,$H22&gt;0,OR(AUTOEVENTO&lt;&gt;"manual",$M22&lt;&gt;1)),IF(Import.TipoArredondamento&lt;&gt;"TransfereGOV",ROUND(OFFSET($P22,0,AC$13),15-13*ORÇAMENTO!$AF$7)/$H22*OFFSET(ORÇAMENTO!$X$15,ROW(AC22)-ROW(AC$15),0),ROUND(ROUND(OFFSET($P22,0,AC$13),15-13*ORÇAMENTO!$AF$7)*OFFSET(ORÇAMENTO!$W$15,ROW(AC22)-ROW(AC$15),0),15-13*ORÇAMENTO!$AF$11)),0)</f>
        <v>0</v>
      </c>
      <c r="AD22" s="627">
        <f ca="1">IF(AND($D22="Serviço",AD$12&lt;&gt;0,$H22&gt;0,OR(AUTOEVENTO&lt;&gt;"manual",$M22&lt;&gt;1)),IF(Import.TipoArredondamento&lt;&gt;"TransfereGOV",ROUND(OFFSET($P22,0,AD$13),15-13*ORÇAMENTO!$AF$7)/$H22*OFFSET(ORÇAMENTO!$X$15,ROW(AD22)-ROW(AD$15),0),ROUND(ROUND(OFFSET($P22,0,AD$13),15-13*ORÇAMENTO!$AF$7)*OFFSET(ORÇAMENTO!$W$15,ROW(AD22)-ROW(AD$15),0),15-13*ORÇAMENTO!$AF$11)),0)</f>
        <v>0</v>
      </c>
      <c r="AE22" s="627">
        <f ca="1">IF(AND($D22="Serviço",AE$12&lt;&gt;0,$H22&gt;0,OR(AUTOEVENTO&lt;&gt;"manual",$M22&lt;&gt;1)),IF(Import.TipoArredondamento&lt;&gt;"TransfereGOV",ROUND(OFFSET($P22,0,AE$13),15-13*ORÇAMENTO!$AF$7)/$H22*OFFSET(ORÇAMENTO!$X$15,ROW(AE22)-ROW(AE$15),0),ROUND(ROUND(OFFSET($P22,0,AE$13),15-13*ORÇAMENTO!$AF$7)*OFFSET(ORÇAMENTO!$W$15,ROW(AE22)-ROW(AE$15),0),15-13*ORÇAMENTO!$AF$11)),0)</f>
        <v>0</v>
      </c>
      <c r="AF22" s="627">
        <f ca="1">IF(AND($D22="Serviço",AF$12&lt;&gt;0,$H22&gt;0,OR(AUTOEVENTO&lt;&gt;"manual",$M22&lt;&gt;1)),IF(Import.TipoArredondamento&lt;&gt;"TransfereGOV",ROUND(OFFSET($P22,0,AF$13),15-13*ORÇAMENTO!$AF$7)/$H22*OFFSET(ORÇAMENTO!$X$15,ROW(AF22)-ROW(AF$15),0),ROUND(ROUND(OFFSET($P22,0,AF$13),15-13*ORÇAMENTO!$AF$7)*OFFSET(ORÇAMENTO!$W$15,ROW(AF22)-ROW(AF$15),0),15-13*ORÇAMENTO!$AF$11)),0)</f>
        <v>0</v>
      </c>
      <c r="AG22" s="627">
        <f ca="1">IF(AND($D22="Serviço",AG$12&lt;&gt;0,$H22&gt;0,OR(AUTOEVENTO&lt;&gt;"manual",$M22&lt;&gt;1)),IF(Import.TipoArredondamento&lt;&gt;"TransfereGOV",ROUND(OFFSET($P22,0,AG$13),15-13*ORÇAMENTO!$AF$7)/$H22*OFFSET(ORÇAMENTO!$X$15,ROW(AG22)-ROW(AG$15),0),ROUND(ROUND(OFFSET($P22,0,AG$13),15-13*ORÇAMENTO!$AF$7)*OFFSET(ORÇAMENTO!$W$15,ROW(AG22)-ROW(AG$15),0),15-13*ORÇAMENTO!$AF$11)),0)</f>
        <v>0</v>
      </c>
      <c r="AH22" s="627">
        <f ca="1">IF(AND($D22="Serviço",AH$12&lt;&gt;0,$H22&gt;0,OR(AUTOEVENTO&lt;&gt;"manual",$M22&lt;&gt;1)),IF(Import.TipoArredondamento&lt;&gt;"TransfereGOV",ROUND(OFFSET($P22,0,AH$13),15-13*ORÇAMENTO!$AF$7)/$H22*OFFSET(ORÇAMENTO!$X$15,ROW(AH22)-ROW(AH$15),0),ROUND(ROUND(OFFSET($P22,0,AH$13),15-13*ORÇAMENTO!$AF$7)*OFFSET(ORÇAMENTO!$W$15,ROW(AH22)-ROW(AH$15),0),15-13*ORÇAMENTO!$AF$11)),0)</f>
        <v>0</v>
      </c>
      <c r="AI22" s="627">
        <f ca="1">IF(AND($D22="Serviço",AI$12&lt;&gt;0,$H22&gt;0,OR(AUTOEVENTO&lt;&gt;"manual",$M22&lt;&gt;1)),IF(Import.TipoArredondamento&lt;&gt;"TransfereGOV",ROUND(OFFSET($P22,0,AI$13),15-13*ORÇAMENTO!$AF$7)/$H22*OFFSET(ORÇAMENTO!$X$15,ROW(AI22)-ROW(AI$15),0),ROUND(ROUND(OFFSET($P22,0,AI$13),15-13*ORÇAMENTO!$AF$7)*OFFSET(ORÇAMENTO!$W$15,ROW(AI22)-ROW(AI$15),0),15-13*ORÇAMENTO!$AF$11)),0)</f>
        <v>0</v>
      </c>
      <c r="AJ22" s="627">
        <f ca="1">IF(AND($D22="Serviço",AJ$12&lt;&gt;0,$H22&gt;0,OR(AUTOEVENTO&lt;&gt;"manual",$M22&lt;&gt;1)),IF(Import.TipoArredondamento&lt;&gt;"TransfereGOV",ROUND(OFFSET($P22,0,AJ$13),15-13*ORÇAMENTO!$AF$7)/$H22*OFFSET(ORÇAMENTO!$X$15,ROW(AJ22)-ROW(AJ$15),0),ROUND(ROUND(OFFSET($P22,0,AJ$13),15-13*ORÇAMENTO!$AF$7)*OFFSET(ORÇAMENTO!$W$15,ROW(AJ22)-ROW(AJ$15),0),15-13*ORÇAMENTO!$AF$11)),0)</f>
        <v>0</v>
      </c>
      <c r="AK22" s="628">
        <f ca="1">IF(AND($D22="Serviço",AK$12&lt;&gt;0,$H22&gt;0,OR(AUTOEVENTO&lt;&gt;"manual",$M22&lt;&gt;1)),IF(Import.TipoArredondamento&lt;&gt;"TransfereGOV",ROUND(OFFSET($P22,0,AK$13),15-13*ORÇAMENTO!$AF$7)/$H22*OFFSET(ORÇAMENTO!$X$15,ROW(AK22)-ROW(AK$15),0),ROUND(ROUND(OFFSET($P22,0,AK$13),15-13*ORÇAMENTO!$AF$7)*OFFSET(ORÇAMENTO!$W$15,ROW(AK22)-ROW(AK$15),0),15-13*ORÇAMENTO!$AF$11)),0)</f>
        <v>0</v>
      </c>
      <c r="AM22" s="211">
        <f ca="1">IF($D22&lt;&gt;"Serviço",0,IF(AND(AUTOEVENTO="Manual",$M22=1),0,IF(OFFSET(CRONOPLE!$F$14,$M22,AM$13)="",10^12,OFFSET(CRONOPLE!$F$14,$M22,AM$13))))</f>
        <v>1000000000000</v>
      </c>
      <c r="AN22" s="211">
        <f ca="1">IF($D22&lt;&gt;"Serviço",0,IF(AND(AUTOEVENTO="Manual",$M22=1),0,IF(OFFSET(CRONOPLE!$F$14,$M22,AN$13)="",10^12,OFFSET(CRONOPLE!$F$14,$M22,AN$13))))</f>
        <v>1000000000000</v>
      </c>
      <c r="AO22" s="211">
        <f ca="1">IF($D22&lt;&gt;"Serviço",0,IF(AND(AUTOEVENTO="Manual",$M22=1),0,IF(OFFSET(CRONOPLE!$F$14,$M22,AO$13)="",10^12,OFFSET(CRONOPLE!$F$14,$M22,AO$13))))</f>
        <v>1000000000000</v>
      </c>
      <c r="AP22" s="211">
        <f ca="1">IF($D22&lt;&gt;"Serviço",0,IF(AND(AUTOEVENTO="Manual",$M22=1),0,IF(OFFSET(CRONOPLE!$F$14,$M22,AP$13)="",10^12,OFFSET(CRONOPLE!$F$14,$M22,AP$13))))</f>
        <v>1000000000000</v>
      </c>
      <c r="AQ22" s="211">
        <f ca="1">IF($D22&lt;&gt;"Serviço",0,IF(AND(AUTOEVENTO="Manual",$M22=1),0,IF(OFFSET(CRONOPLE!$F$14,$M22,AQ$13)="",10^12,OFFSET(CRONOPLE!$F$14,$M22,AQ$13))))</f>
        <v>1000000000000</v>
      </c>
      <c r="AR22" s="211">
        <f ca="1">IF($D22&lt;&gt;"Serviço",0,IF(AND(AUTOEVENTO="Manual",$M22=1),0,IF(OFFSET(CRONOPLE!$F$14,$M22,AR$13)="",10^12,OFFSET(CRONOPLE!$F$14,$M22,AR$13))))</f>
        <v>1000000000000</v>
      </c>
      <c r="AS22" s="211">
        <f ca="1">IF($D22&lt;&gt;"Serviço",0,IF(AND(AUTOEVENTO="Manual",$M22=1),0,IF(OFFSET(CRONOPLE!$F$14,$M22,AS$13)="",10^12,OFFSET(CRONOPLE!$F$14,$M22,AS$13))))</f>
        <v>1000000000000</v>
      </c>
      <c r="AT22" s="211">
        <f ca="1">IF($D22&lt;&gt;"Serviço",0,IF(AND(AUTOEVENTO="Manual",$M22=1),0,IF(OFFSET(CRONOPLE!$F$14,$M22,AT$13)="",10^12,OFFSET(CRONOPLE!$F$14,$M22,AT$13))))</f>
        <v>1000000000000</v>
      </c>
      <c r="AU22" s="211">
        <f ca="1">IF($D22&lt;&gt;"Serviço",0,IF(AND(AUTOEVENTO="Manual",$M22=1),0,IF(OFFSET(CRONOPLE!$F$14,$M22,AU$13)="",10^12,OFFSET(CRONOPLE!$F$14,$M22,AU$13))))</f>
        <v>1000000000000</v>
      </c>
      <c r="AV22" s="211">
        <f ca="1">IF($D22&lt;&gt;"Serviço",0,IF(AND(AUTOEVENTO="Manual",$M22=1),0,IF(OFFSET(CRONOPLE!$F$14,$M22,AV$13)="",10^12,OFFSET(CRONOPLE!$F$14,$M22,AV$13))))</f>
        <v>1000000000000</v>
      </c>
      <c r="AX22" s="212">
        <f ca="1">IF($D22&lt;&gt;"Serviço",0,IF(OR(AND(AUTOEVENTO="Manual",$M22=1),$M22&gt;(ROW(PLE.lastrow)-ROW(PLE.firstrow))),0,IF(OFFSET(PLE!$G$14,$M22,AX$13)="",10^12,OFFSET(PLE!$G$14,$M22,AX$13))))</f>
        <v>1000000000000</v>
      </c>
      <c r="AY22" s="212">
        <f ca="1">IF($D22&lt;&gt;"Serviço",0,IF(OR(AND(AUTOEVENTO="Manual",$M22=1),$M22&gt;(ROW(PLE.lastrow)-ROW(PLE.firstrow))),0,IF(OFFSET(PLE!$G$14,$M22,AY$13)="",10^12,OFFSET(PLE!$G$14,$M22,AY$13))))</f>
        <v>1000000000000</v>
      </c>
      <c r="AZ22" s="212">
        <f ca="1">IF($D22&lt;&gt;"Serviço",0,IF(OR(AND(AUTOEVENTO="Manual",$M22=1),$M22&gt;(ROW(PLE.lastrow)-ROW(PLE.firstrow))),0,IF(OFFSET(PLE!$G$14,$M22,AZ$13)="",10^12,OFFSET(PLE!$G$14,$M22,AZ$13))))</f>
        <v>1000000000000</v>
      </c>
      <c r="BA22" s="212">
        <f ca="1">IF($D22&lt;&gt;"Serviço",0,IF(OR(AND(AUTOEVENTO="Manual",$M22=1),$M22&gt;(ROW(PLE.lastrow)-ROW(PLE.firstrow))),0,IF(OFFSET(PLE!$G$14,$M22,BA$13)="",10^12,OFFSET(PLE!$G$14,$M22,BA$13))))</f>
        <v>1000000000000</v>
      </c>
      <c r="BB22" s="212">
        <f ca="1">IF($D22&lt;&gt;"Serviço",0,IF(OR(AND(AUTOEVENTO="Manual",$M22=1),$M22&gt;(ROW(PLE.lastrow)-ROW(PLE.firstrow))),0,IF(OFFSET(PLE!$G$14,$M22,BB$13)="",10^12,OFFSET(PLE!$G$14,$M22,BB$13))))</f>
        <v>1000000000000</v>
      </c>
      <c r="BC22" s="212">
        <f ca="1">IF($D22&lt;&gt;"Serviço",0,IF(OR(AND(AUTOEVENTO="Manual",$M22=1),$M22&gt;(ROW(PLE.lastrow)-ROW(PLE.firstrow))),0,IF(OFFSET(PLE!$G$14,$M22,BC$13)="",10^12,OFFSET(PLE!$G$14,$M22,BC$13))))</f>
        <v>1000000000000</v>
      </c>
      <c r="BD22" s="212">
        <f ca="1">IF($D22&lt;&gt;"Serviço",0,IF(OR(AND(AUTOEVENTO="Manual",$M22=1),$M22&gt;(ROW(PLE.lastrow)-ROW(PLE.firstrow))),0,IF(OFFSET(PLE!$G$14,$M22,BD$13)="",10^12,OFFSET(PLE!$G$14,$M22,BD$13))))</f>
        <v>1000000000000</v>
      </c>
      <c r="BE22" s="212">
        <f ca="1">IF($D22&lt;&gt;"Serviço",0,IF(OR(AND(AUTOEVENTO="Manual",$M22=1),$M22&gt;(ROW(PLE.lastrow)-ROW(PLE.firstrow))),0,IF(OFFSET(PLE!$G$14,$M22,BE$13)="",10^12,OFFSET(PLE!$G$14,$M22,BE$13))))</f>
        <v>1000000000000</v>
      </c>
      <c r="BF22" s="212">
        <f ca="1">IF($D22&lt;&gt;"Serviço",0,IF(OR(AND(AUTOEVENTO="Manual",$M22=1),$M22&gt;(ROW(PLE.lastrow)-ROW(PLE.firstrow))),0,IF(OFFSET(PLE!$G$14,$M22,BF$13)="",10^12,OFFSET(PLE!$G$14,$M22,BF$13))))</f>
        <v>1000000000000</v>
      </c>
      <c r="BG22" s="212">
        <f ca="1">IF($D22&lt;&gt;"Serviço",0,IF(OR(AND(AUTOEVENTO="Manual",$M22=1),$M22&gt;(ROW(PLE.lastrow)-ROW(PLE.firstrow))),0,IF(OFFSET(PLE!$G$14,$M22,BG$13)="",10^12,OFFSET(PLE!$G$14,$M22,BG$13))))</f>
        <v>1000000000000</v>
      </c>
    </row>
    <row r="23" spans="1:59" ht="12.75">
      <c r="A23" s="9" t="str">
        <f t="shared" ca="1" si="9"/>
        <v>8.</v>
      </c>
      <c r="B23" s="9">
        <f ca="1">OFFSET(ORÇAMENTO!C$15,ROW(B23)-ROW(B$15),0)</f>
        <v>2</v>
      </c>
      <c r="C23" s="9" t="str">
        <f ca="1">OFFSET(ORÇAMENTO!L$15,ROW(C23)-ROW(C$15),0)</f>
        <v>F</v>
      </c>
      <c r="D23" s="141" t="str">
        <f ca="1">OFFSET(ORÇAMENTO!N$15,ROW(D23)-ROW(D$15),0)</f>
        <v>Nível 2</v>
      </c>
      <c r="E23" s="201" t="str">
        <f ca="1">OFFSET(ORÇAMENTO!O$15,ROW(E23)-ROW(E$15),0)</f>
        <v>1.2.</v>
      </c>
      <c r="F23" s="202" t="str">
        <f ca="1">OFFSET(ORÇAMENTO!R$15,ROW(F23)-ROW(F$15),0)</f>
        <v>ADMINISTRAÇÃO DE OBRA</v>
      </c>
      <c r="G23" s="203" t="str">
        <f ca="1">IF($D23&lt;&gt;"Serviço","",OFFSET(ORÇAMENTO!S$15,ROW(G23)-ROW(G$15),0))</f>
        <v/>
      </c>
      <c r="H23" s="147">
        <f ca="1">IF($D23&lt;&gt;"Serviço",0,IF(ACOMPANHAMENTO="BM",ROUND(OFFSET(ORÇAMENTO!AJ$15,ROW(H23)-ROW(H$15),0),15-13*ORÇAMENTO!$AF$7),SUMPRODUCT(($Q$12:$AA$12&lt;&gt;"")*ROUND($Q23:$AA23,15-13*ORÇAMENTO!$AF$7))))</f>
        <v>0</v>
      </c>
      <c r="I23" s="645"/>
      <c r="K23" s="204"/>
      <c r="L23" s="205" t="s">
        <v>255</v>
      </c>
      <c r="M23" s="206" t="str">
        <f ca="1">IF($D23&lt;&gt;"Serviço","",IF(AUTOEVENTO="manual",$A23,IF(ISERROR(MATCH($A23,$A$15:OFFSET($A23,-1,0),0)),MAX($M$15:OFFSET(M23,-1,0))+1,INDEX($M$15:OFFSET(M23,-1,0),MATCH($A23,$A$15:OFFSET($A23,-1,0),0)))))</f>
        <v/>
      </c>
      <c r="N23" s="207" t="str">
        <f ca="1">IF($D23&lt;&gt;"Serviço","",IF(AUTOEVENTO="Manual",IF($A23=0,"&lt;-- defina o número do agrupador",OFFSET(EVENTOS!$D$14,$A23,0)),OFFSET($F$15,$A23,0)))</f>
        <v/>
      </c>
      <c r="O23" s="208"/>
      <c r="Q23" s="208"/>
      <c r="R23" s="209"/>
      <c r="S23" s="209"/>
      <c r="T23" s="209"/>
      <c r="U23" s="209"/>
      <c r="V23" s="209"/>
      <c r="W23" s="209"/>
      <c r="X23" s="209"/>
      <c r="Y23" s="209"/>
      <c r="Z23" s="210"/>
      <c r="AB23" s="626">
        <f ca="1">IF(AND($D23="Serviço",AB$12&lt;&gt;0,$H23&gt;0,OR(AUTOEVENTO&lt;&gt;"manual",$M23&lt;&gt;1)),IF(Import.TipoArredondamento&lt;&gt;"TransfereGOV",ROUND(OFFSET($P23,0,AB$13),15-13*ORÇAMENTO!$AF$7)/$H23*OFFSET(ORÇAMENTO!$X$15,ROW(AB23)-ROW(AB$15),0),ROUND(ROUND(OFFSET($P23,0,AB$13),15-13*ORÇAMENTO!$AF$7)*OFFSET(ORÇAMENTO!$W$15,ROW(AB23)-ROW(AB$15),0),15-13*ORÇAMENTO!$AF$11)),0)</f>
        <v>0</v>
      </c>
      <c r="AC23" s="627">
        <f ca="1">IF(AND($D23="Serviço",AC$12&lt;&gt;0,$H23&gt;0,OR(AUTOEVENTO&lt;&gt;"manual",$M23&lt;&gt;1)),IF(Import.TipoArredondamento&lt;&gt;"TransfereGOV",ROUND(OFFSET($P23,0,AC$13),15-13*ORÇAMENTO!$AF$7)/$H23*OFFSET(ORÇAMENTO!$X$15,ROW(AC23)-ROW(AC$15),0),ROUND(ROUND(OFFSET($P23,0,AC$13),15-13*ORÇAMENTO!$AF$7)*OFFSET(ORÇAMENTO!$W$15,ROW(AC23)-ROW(AC$15),0),15-13*ORÇAMENTO!$AF$11)),0)</f>
        <v>0</v>
      </c>
      <c r="AD23" s="627">
        <f ca="1">IF(AND($D23="Serviço",AD$12&lt;&gt;0,$H23&gt;0,OR(AUTOEVENTO&lt;&gt;"manual",$M23&lt;&gt;1)),IF(Import.TipoArredondamento&lt;&gt;"TransfereGOV",ROUND(OFFSET($P23,0,AD$13),15-13*ORÇAMENTO!$AF$7)/$H23*OFFSET(ORÇAMENTO!$X$15,ROW(AD23)-ROW(AD$15),0),ROUND(ROUND(OFFSET($P23,0,AD$13),15-13*ORÇAMENTO!$AF$7)*OFFSET(ORÇAMENTO!$W$15,ROW(AD23)-ROW(AD$15),0),15-13*ORÇAMENTO!$AF$11)),0)</f>
        <v>0</v>
      </c>
      <c r="AE23" s="627">
        <f ca="1">IF(AND($D23="Serviço",AE$12&lt;&gt;0,$H23&gt;0,OR(AUTOEVENTO&lt;&gt;"manual",$M23&lt;&gt;1)),IF(Import.TipoArredondamento&lt;&gt;"TransfereGOV",ROUND(OFFSET($P23,0,AE$13),15-13*ORÇAMENTO!$AF$7)/$H23*OFFSET(ORÇAMENTO!$X$15,ROW(AE23)-ROW(AE$15),0),ROUND(ROUND(OFFSET($P23,0,AE$13),15-13*ORÇAMENTO!$AF$7)*OFFSET(ORÇAMENTO!$W$15,ROW(AE23)-ROW(AE$15),0),15-13*ORÇAMENTO!$AF$11)),0)</f>
        <v>0</v>
      </c>
      <c r="AF23" s="627">
        <f ca="1">IF(AND($D23="Serviço",AF$12&lt;&gt;0,$H23&gt;0,OR(AUTOEVENTO&lt;&gt;"manual",$M23&lt;&gt;1)),IF(Import.TipoArredondamento&lt;&gt;"TransfereGOV",ROUND(OFFSET($P23,0,AF$13),15-13*ORÇAMENTO!$AF$7)/$H23*OFFSET(ORÇAMENTO!$X$15,ROW(AF23)-ROW(AF$15),0),ROUND(ROUND(OFFSET($P23,0,AF$13),15-13*ORÇAMENTO!$AF$7)*OFFSET(ORÇAMENTO!$W$15,ROW(AF23)-ROW(AF$15),0),15-13*ORÇAMENTO!$AF$11)),0)</f>
        <v>0</v>
      </c>
      <c r="AG23" s="627">
        <f ca="1">IF(AND($D23="Serviço",AG$12&lt;&gt;0,$H23&gt;0,OR(AUTOEVENTO&lt;&gt;"manual",$M23&lt;&gt;1)),IF(Import.TipoArredondamento&lt;&gt;"TransfereGOV",ROUND(OFFSET($P23,0,AG$13),15-13*ORÇAMENTO!$AF$7)/$H23*OFFSET(ORÇAMENTO!$X$15,ROW(AG23)-ROW(AG$15),0),ROUND(ROUND(OFFSET($P23,0,AG$13),15-13*ORÇAMENTO!$AF$7)*OFFSET(ORÇAMENTO!$W$15,ROW(AG23)-ROW(AG$15),0),15-13*ORÇAMENTO!$AF$11)),0)</f>
        <v>0</v>
      </c>
      <c r="AH23" s="627">
        <f ca="1">IF(AND($D23="Serviço",AH$12&lt;&gt;0,$H23&gt;0,OR(AUTOEVENTO&lt;&gt;"manual",$M23&lt;&gt;1)),IF(Import.TipoArredondamento&lt;&gt;"TransfereGOV",ROUND(OFFSET($P23,0,AH$13),15-13*ORÇAMENTO!$AF$7)/$H23*OFFSET(ORÇAMENTO!$X$15,ROW(AH23)-ROW(AH$15),0),ROUND(ROUND(OFFSET($P23,0,AH$13),15-13*ORÇAMENTO!$AF$7)*OFFSET(ORÇAMENTO!$W$15,ROW(AH23)-ROW(AH$15),0),15-13*ORÇAMENTO!$AF$11)),0)</f>
        <v>0</v>
      </c>
      <c r="AI23" s="627">
        <f ca="1">IF(AND($D23="Serviço",AI$12&lt;&gt;0,$H23&gt;0,OR(AUTOEVENTO&lt;&gt;"manual",$M23&lt;&gt;1)),IF(Import.TipoArredondamento&lt;&gt;"TransfereGOV",ROUND(OFFSET($P23,0,AI$13),15-13*ORÇAMENTO!$AF$7)/$H23*OFFSET(ORÇAMENTO!$X$15,ROW(AI23)-ROW(AI$15),0),ROUND(ROUND(OFFSET($P23,0,AI$13),15-13*ORÇAMENTO!$AF$7)*OFFSET(ORÇAMENTO!$W$15,ROW(AI23)-ROW(AI$15),0),15-13*ORÇAMENTO!$AF$11)),0)</f>
        <v>0</v>
      </c>
      <c r="AJ23" s="627">
        <f ca="1">IF(AND($D23="Serviço",AJ$12&lt;&gt;0,$H23&gt;0,OR(AUTOEVENTO&lt;&gt;"manual",$M23&lt;&gt;1)),IF(Import.TipoArredondamento&lt;&gt;"TransfereGOV",ROUND(OFFSET($P23,0,AJ$13),15-13*ORÇAMENTO!$AF$7)/$H23*OFFSET(ORÇAMENTO!$X$15,ROW(AJ23)-ROW(AJ$15),0),ROUND(ROUND(OFFSET($P23,0,AJ$13),15-13*ORÇAMENTO!$AF$7)*OFFSET(ORÇAMENTO!$W$15,ROW(AJ23)-ROW(AJ$15),0),15-13*ORÇAMENTO!$AF$11)),0)</f>
        <v>0</v>
      </c>
      <c r="AK23" s="628">
        <f ca="1">IF(AND($D23="Serviço",AK$12&lt;&gt;0,$H23&gt;0,OR(AUTOEVENTO&lt;&gt;"manual",$M23&lt;&gt;1)),IF(Import.TipoArredondamento&lt;&gt;"TransfereGOV",ROUND(OFFSET($P23,0,AK$13),15-13*ORÇAMENTO!$AF$7)/$H23*OFFSET(ORÇAMENTO!$X$15,ROW(AK23)-ROW(AK$15),0),ROUND(ROUND(OFFSET($P23,0,AK$13),15-13*ORÇAMENTO!$AF$7)*OFFSET(ORÇAMENTO!$W$15,ROW(AK23)-ROW(AK$15),0),15-13*ORÇAMENTO!$AF$11)),0)</f>
        <v>0</v>
      </c>
      <c r="AM23" s="211">
        <f ca="1">IF($D23&lt;&gt;"Serviço",0,IF(AND(AUTOEVENTO="Manual",$M23=1),0,IF(OFFSET(CRONOPLE!$F$14,$M23,AM$13)="",10^12,OFFSET(CRONOPLE!$F$14,$M23,AM$13))))</f>
        <v>0</v>
      </c>
      <c r="AN23" s="211">
        <f ca="1">IF($D23&lt;&gt;"Serviço",0,IF(AND(AUTOEVENTO="Manual",$M23=1),0,IF(OFFSET(CRONOPLE!$F$14,$M23,AN$13)="",10^12,OFFSET(CRONOPLE!$F$14,$M23,AN$13))))</f>
        <v>0</v>
      </c>
      <c r="AO23" s="211">
        <f ca="1">IF($D23&lt;&gt;"Serviço",0,IF(AND(AUTOEVENTO="Manual",$M23=1),0,IF(OFFSET(CRONOPLE!$F$14,$M23,AO$13)="",10^12,OFFSET(CRONOPLE!$F$14,$M23,AO$13))))</f>
        <v>0</v>
      </c>
      <c r="AP23" s="211">
        <f ca="1">IF($D23&lt;&gt;"Serviço",0,IF(AND(AUTOEVENTO="Manual",$M23=1),0,IF(OFFSET(CRONOPLE!$F$14,$M23,AP$13)="",10^12,OFFSET(CRONOPLE!$F$14,$M23,AP$13))))</f>
        <v>0</v>
      </c>
      <c r="AQ23" s="211">
        <f ca="1">IF($D23&lt;&gt;"Serviço",0,IF(AND(AUTOEVENTO="Manual",$M23=1),0,IF(OFFSET(CRONOPLE!$F$14,$M23,AQ$13)="",10^12,OFFSET(CRONOPLE!$F$14,$M23,AQ$13))))</f>
        <v>0</v>
      </c>
      <c r="AR23" s="211">
        <f ca="1">IF($D23&lt;&gt;"Serviço",0,IF(AND(AUTOEVENTO="Manual",$M23=1),0,IF(OFFSET(CRONOPLE!$F$14,$M23,AR$13)="",10^12,OFFSET(CRONOPLE!$F$14,$M23,AR$13))))</f>
        <v>0</v>
      </c>
      <c r="AS23" s="211">
        <f ca="1">IF($D23&lt;&gt;"Serviço",0,IF(AND(AUTOEVENTO="Manual",$M23=1),0,IF(OFFSET(CRONOPLE!$F$14,$M23,AS$13)="",10^12,OFFSET(CRONOPLE!$F$14,$M23,AS$13))))</f>
        <v>0</v>
      </c>
      <c r="AT23" s="211">
        <f ca="1">IF($D23&lt;&gt;"Serviço",0,IF(AND(AUTOEVENTO="Manual",$M23=1),0,IF(OFFSET(CRONOPLE!$F$14,$M23,AT$13)="",10^12,OFFSET(CRONOPLE!$F$14,$M23,AT$13))))</f>
        <v>0</v>
      </c>
      <c r="AU23" s="211">
        <f ca="1">IF($D23&lt;&gt;"Serviço",0,IF(AND(AUTOEVENTO="Manual",$M23=1),0,IF(OFFSET(CRONOPLE!$F$14,$M23,AU$13)="",10^12,OFFSET(CRONOPLE!$F$14,$M23,AU$13))))</f>
        <v>0</v>
      </c>
      <c r="AV23" s="211">
        <f ca="1">IF($D23&lt;&gt;"Serviço",0,IF(AND(AUTOEVENTO="Manual",$M23=1),0,IF(OFFSET(CRONOPLE!$F$14,$M23,AV$13)="",10^12,OFFSET(CRONOPLE!$F$14,$M23,AV$13))))</f>
        <v>0</v>
      </c>
      <c r="AX23" s="212">
        <f ca="1">IF($D23&lt;&gt;"Serviço",0,IF(OR(AND(AUTOEVENTO="Manual",$M23=1),$M23&gt;(ROW(PLE.lastrow)-ROW(PLE.firstrow))),0,IF(OFFSET(PLE!$G$14,$M23,AX$13)="",10^12,OFFSET(PLE!$G$14,$M23,AX$13))))</f>
        <v>0</v>
      </c>
      <c r="AY23" s="212">
        <f ca="1">IF($D23&lt;&gt;"Serviço",0,IF(OR(AND(AUTOEVENTO="Manual",$M23=1),$M23&gt;(ROW(PLE.lastrow)-ROW(PLE.firstrow))),0,IF(OFFSET(PLE!$G$14,$M23,AY$13)="",10^12,OFFSET(PLE!$G$14,$M23,AY$13))))</f>
        <v>0</v>
      </c>
      <c r="AZ23" s="212">
        <f ca="1">IF($D23&lt;&gt;"Serviço",0,IF(OR(AND(AUTOEVENTO="Manual",$M23=1),$M23&gt;(ROW(PLE.lastrow)-ROW(PLE.firstrow))),0,IF(OFFSET(PLE!$G$14,$M23,AZ$13)="",10^12,OFFSET(PLE!$G$14,$M23,AZ$13))))</f>
        <v>0</v>
      </c>
      <c r="BA23" s="212">
        <f ca="1">IF($D23&lt;&gt;"Serviço",0,IF(OR(AND(AUTOEVENTO="Manual",$M23=1),$M23&gt;(ROW(PLE.lastrow)-ROW(PLE.firstrow))),0,IF(OFFSET(PLE!$G$14,$M23,BA$13)="",10^12,OFFSET(PLE!$G$14,$M23,BA$13))))</f>
        <v>0</v>
      </c>
      <c r="BB23" s="212">
        <f ca="1">IF($D23&lt;&gt;"Serviço",0,IF(OR(AND(AUTOEVENTO="Manual",$M23=1),$M23&gt;(ROW(PLE.lastrow)-ROW(PLE.firstrow))),0,IF(OFFSET(PLE!$G$14,$M23,BB$13)="",10^12,OFFSET(PLE!$G$14,$M23,BB$13))))</f>
        <v>0</v>
      </c>
      <c r="BC23" s="212">
        <f ca="1">IF($D23&lt;&gt;"Serviço",0,IF(OR(AND(AUTOEVENTO="Manual",$M23=1),$M23&gt;(ROW(PLE.lastrow)-ROW(PLE.firstrow))),0,IF(OFFSET(PLE!$G$14,$M23,BC$13)="",10^12,OFFSET(PLE!$G$14,$M23,BC$13))))</f>
        <v>0</v>
      </c>
      <c r="BD23" s="212">
        <f ca="1">IF($D23&lt;&gt;"Serviço",0,IF(OR(AND(AUTOEVENTO="Manual",$M23=1),$M23&gt;(ROW(PLE.lastrow)-ROW(PLE.firstrow))),0,IF(OFFSET(PLE!$G$14,$M23,BD$13)="",10^12,OFFSET(PLE!$G$14,$M23,BD$13))))</f>
        <v>0</v>
      </c>
      <c r="BE23" s="212">
        <f ca="1">IF($D23&lt;&gt;"Serviço",0,IF(OR(AND(AUTOEVENTO="Manual",$M23=1),$M23&gt;(ROW(PLE.lastrow)-ROW(PLE.firstrow))),0,IF(OFFSET(PLE!$G$14,$M23,BE$13)="",10^12,OFFSET(PLE!$G$14,$M23,BE$13))))</f>
        <v>0</v>
      </c>
      <c r="BF23" s="212">
        <f ca="1">IF($D23&lt;&gt;"Serviço",0,IF(OR(AND(AUTOEVENTO="Manual",$M23=1),$M23&gt;(ROW(PLE.lastrow)-ROW(PLE.firstrow))),0,IF(OFFSET(PLE!$G$14,$M23,BF$13)="",10^12,OFFSET(PLE!$G$14,$M23,BF$13))))</f>
        <v>0</v>
      </c>
      <c r="BG23" s="212">
        <f ca="1">IF($D23&lt;&gt;"Serviço",0,IF(OR(AND(AUTOEVENTO="Manual",$M23=1),$M23&gt;(ROW(PLE.lastrow)-ROW(PLE.firstrow))),0,IF(OFFSET(PLE!$G$14,$M23,BG$13)="",10^12,OFFSET(PLE!$G$14,$M23,BG$13))))</f>
        <v>0</v>
      </c>
    </row>
    <row r="24" spans="1:59" ht="12.75">
      <c r="A24" s="9" t="str">
        <f t="shared" ca="1" si="9"/>
        <v>8</v>
      </c>
      <c r="B24" s="9" t="str">
        <f ca="1">OFFSET(ORÇAMENTO!C$15,ROW(B24)-ROW(B$15),0)</f>
        <v>S</v>
      </c>
      <c r="C24" s="9" t="str">
        <f ca="1">OFFSET(ORÇAMENTO!L$15,ROW(C24)-ROW(C$15),0)</f>
        <v/>
      </c>
      <c r="D24" s="141" t="str">
        <f ca="1">OFFSET(ORÇAMENTO!N$15,ROW(D24)-ROW(D$15),0)</f>
        <v>Serviço</v>
      </c>
      <c r="E24" s="201" t="str">
        <f ca="1">OFFSET(ORÇAMENTO!O$15,ROW(E24)-ROW(E$15),0)</f>
        <v>-</v>
      </c>
      <c r="F24" s="202" t="str">
        <f ca="1">OFFSET(ORÇAMENTO!R$15,ROW(F24)-ROW(F$15),0)</f>
        <v>(abra o arquivo 'Referência 07-2024.xlsm)</v>
      </c>
      <c r="G24" s="203" t="str">
        <f ca="1">IF($D24&lt;&gt;"Serviço","",OFFSET(ORÇAMENTO!S$15,ROW(G24)-ROW(G$15),0))</f>
        <v>-</v>
      </c>
      <c r="H24" s="147">
        <f ca="1">IF($D24&lt;&gt;"Serviço",0,IF(ACOMPANHAMENTO="BM",ROUND(OFFSET(ORÇAMENTO!AJ$15,ROW(H24)-ROW(H$15),0),15-13*ORÇAMENTO!$AF$7),SUMPRODUCT(($Q$12:$AA$12&lt;&gt;"")*ROUND($Q24:$AA24,15-13*ORÇAMENTO!$AF$7))))</f>
        <v>90</v>
      </c>
      <c r="I24" s="645" t="s">
        <v>495</v>
      </c>
      <c r="K24" s="204"/>
      <c r="L24" s="205" t="s">
        <v>255</v>
      </c>
      <c r="M24" s="206">
        <f ca="1">IF($D24&lt;&gt;"Serviço","",IF(AUTOEVENTO="manual",$A24,IF(ISERROR(MATCH($A24,$A$15:OFFSET($A24,-1,0),0)),MAX($M$15:OFFSET(M24,-1,0))+1,INDEX($M$15:OFFSET(M24,-1,0),MATCH($A24,$A$15:OFFSET($A24,-1,0),0)))))</f>
        <v>3</v>
      </c>
      <c r="N24" s="207" t="str">
        <f ca="1">IF($D24&lt;&gt;"Serviço","",IF(AUTOEVENTO="Manual",IF($A24=0,"&lt;-- defina o número do agrupador",OFFSET(EVENTOS!$D$14,$A24,0)),OFFSET($F$15,$A24,0)))</f>
        <v>ADMINISTRAÇÃO DE OBRA</v>
      </c>
      <c r="O24" s="208"/>
      <c r="Q24" s="208"/>
      <c r="R24" s="209"/>
      <c r="S24" s="209"/>
      <c r="T24" s="209"/>
      <c r="U24" s="209"/>
      <c r="V24" s="209"/>
      <c r="W24" s="209"/>
      <c r="X24" s="209"/>
      <c r="Y24" s="209"/>
      <c r="Z24" s="210"/>
      <c r="AB24" s="626">
        <f ca="1">IF(AND($D24="Serviço",AB$12&lt;&gt;0,$H24&gt;0,OR(AUTOEVENTO&lt;&gt;"manual",$M24&lt;&gt;1)),IF(Import.TipoArredondamento&lt;&gt;"TransfereGOV",ROUND(OFFSET($P24,0,AB$13),15-13*ORÇAMENTO!$AF$7)/$H24*OFFSET(ORÇAMENTO!$X$15,ROW(AB24)-ROW(AB$15),0),ROUND(ROUND(OFFSET($P24,0,AB$13),15-13*ORÇAMENTO!$AF$7)*OFFSET(ORÇAMENTO!$W$15,ROW(AB24)-ROW(AB$15),0),15-13*ORÇAMENTO!$AF$11)),0)</f>
        <v>0</v>
      </c>
      <c r="AC24" s="627">
        <f ca="1">IF(AND($D24="Serviço",AC$12&lt;&gt;0,$H24&gt;0,OR(AUTOEVENTO&lt;&gt;"manual",$M24&lt;&gt;1)),IF(Import.TipoArredondamento&lt;&gt;"TransfereGOV",ROUND(OFFSET($P24,0,AC$13),15-13*ORÇAMENTO!$AF$7)/$H24*OFFSET(ORÇAMENTO!$X$15,ROW(AC24)-ROW(AC$15),0),ROUND(ROUND(OFFSET($P24,0,AC$13),15-13*ORÇAMENTO!$AF$7)*OFFSET(ORÇAMENTO!$W$15,ROW(AC24)-ROW(AC$15),0),15-13*ORÇAMENTO!$AF$11)),0)</f>
        <v>0</v>
      </c>
      <c r="AD24" s="627">
        <f ca="1">IF(AND($D24="Serviço",AD$12&lt;&gt;0,$H24&gt;0,OR(AUTOEVENTO&lt;&gt;"manual",$M24&lt;&gt;1)),IF(Import.TipoArredondamento&lt;&gt;"TransfereGOV",ROUND(OFFSET($P24,0,AD$13),15-13*ORÇAMENTO!$AF$7)/$H24*OFFSET(ORÇAMENTO!$X$15,ROW(AD24)-ROW(AD$15),0),ROUND(ROUND(OFFSET($P24,0,AD$13),15-13*ORÇAMENTO!$AF$7)*OFFSET(ORÇAMENTO!$W$15,ROW(AD24)-ROW(AD$15),0),15-13*ORÇAMENTO!$AF$11)),0)</f>
        <v>0</v>
      </c>
      <c r="AE24" s="627">
        <f ca="1">IF(AND($D24="Serviço",AE$12&lt;&gt;0,$H24&gt;0,OR(AUTOEVENTO&lt;&gt;"manual",$M24&lt;&gt;1)),IF(Import.TipoArredondamento&lt;&gt;"TransfereGOV",ROUND(OFFSET($P24,0,AE$13),15-13*ORÇAMENTO!$AF$7)/$H24*OFFSET(ORÇAMENTO!$X$15,ROW(AE24)-ROW(AE$15),0),ROUND(ROUND(OFFSET($P24,0,AE$13),15-13*ORÇAMENTO!$AF$7)*OFFSET(ORÇAMENTO!$W$15,ROW(AE24)-ROW(AE$15),0),15-13*ORÇAMENTO!$AF$11)),0)</f>
        <v>0</v>
      </c>
      <c r="AF24" s="627">
        <f ca="1">IF(AND($D24="Serviço",AF$12&lt;&gt;0,$H24&gt;0,OR(AUTOEVENTO&lt;&gt;"manual",$M24&lt;&gt;1)),IF(Import.TipoArredondamento&lt;&gt;"TransfereGOV",ROUND(OFFSET($P24,0,AF$13),15-13*ORÇAMENTO!$AF$7)/$H24*OFFSET(ORÇAMENTO!$X$15,ROW(AF24)-ROW(AF$15),0),ROUND(ROUND(OFFSET($P24,0,AF$13),15-13*ORÇAMENTO!$AF$7)*OFFSET(ORÇAMENTO!$W$15,ROW(AF24)-ROW(AF$15),0),15-13*ORÇAMENTO!$AF$11)),0)</f>
        <v>0</v>
      </c>
      <c r="AG24" s="627">
        <f ca="1">IF(AND($D24="Serviço",AG$12&lt;&gt;0,$H24&gt;0,OR(AUTOEVENTO&lt;&gt;"manual",$M24&lt;&gt;1)),IF(Import.TipoArredondamento&lt;&gt;"TransfereGOV",ROUND(OFFSET($P24,0,AG$13),15-13*ORÇAMENTO!$AF$7)/$H24*OFFSET(ORÇAMENTO!$X$15,ROW(AG24)-ROW(AG$15),0),ROUND(ROUND(OFFSET($P24,0,AG$13),15-13*ORÇAMENTO!$AF$7)*OFFSET(ORÇAMENTO!$W$15,ROW(AG24)-ROW(AG$15),0),15-13*ORÇAMENTO!$AF$11)),0)</f>
        <v>0</v>
      </c>
      <c r="AH24" s="627">
        <f ca="1">IF(AND($D24="Serviço",AH$12&lt;&gt;0,$H24&gt;0,OR(AUTOEVENTO&lt;&gt;"manual",$M24&lt;&gt;1)),IF(Import.TipoArredondamento&lt;&gt;"TransfereGOV",ROUND(OFFSET($P24,0,AH$13),15-13*ORÇAMENTO!$AF$7)/$H24*OFFSET(ORÇAMENTO!$X$15,ROW(AH24)-ROW(AH$15),0),ROUND(ROUND(OFFSET($P24,0,AH$13),15-13*ORÇAMENTO!$AF$7)*OFFSET(ORÇAMENTO!$W$15,ROW(AH24)-ROW(AH$15),0),15-13*ORÇAMENTO!$AF$11)),0)</f>
        <v>0</v>
      </c>
      <c r="AI24" s="627">
        <f ca="1">IF(AND($D24="Serviço",AI$12&lt;&gt;0,$H24&gt;0,OR(AUTOEVENTO&lt;&gt;"manual",$M24&lt;&gt;1)),IF(Import.TipoArredondamento&lt;&gt;"TransfereGOV",ROUND(OFFSET($P24,0,AI$13),15-13*ORÇAMENTO!$AF$7)/$H24*OFFSET(ORÇAMENTO!$X$15,ROW(AI24)-ROW(AI$15),0),ROUND(ROUND(OFFSET($P24,0,AI$13),15-13*ORÇAMENTO!$AF$7)*OFFSET(ORÇAMENTO!$W$15,ROW(AI24)-ROW(AI$15),0),15-13*ORÇAMENTO!$AF$11)),0)</f>
        <v>0</v>
      </c>
      <c r="AJ24" s="627">
        <f ca="1">IF(AND($D24="Serviço",AJ$12&lt;&gt;0,$H24&gt;0,OR(AUTOEVENTO&lt;&gt;"manual",$M24&lt;&gt;1)),IF(Import.TipoArredondamento&lt;&gt;"TransfereGOV",ROUND(OFFSET($P24,0,AJ$13),15-13*ORÇAMENTO!$AF$7)/$H24*OFFSET(ORÇAMENTO!$X$15,ROW(AJ24)-ROW(AJ$15),0),ROUND(ROUND(OFFSET($P24,0,AJ$13),15-13*ORÇAMENTO!$AF$7)*OFFSET(ORÇAMENTO!$W$15,ROW(AJ24)-ROW(AJ$15),0),15-13*ORÇAMENTO!$AF$11)),0)</f>
        <v>0</v>
      </c>
      <c r="AK24" s="628">
        <f ca="1">IF(AND($D24="Serviço",AK$12&lt;&gt;0,$H24&gt;0,OR(AUTOEVENTO&lt;&gt;"manual",$M24&lt;&gt;1)),IF(Import.TipoArredondamento&lt;&gt;"TransfereGOV",ROUND(OFFSET($P24,0,AK$13),15-13*ORÇAMENTO!$AF$7)/$H24*OFFSET(ORÇAMENTO!$X$15,ROW(AK24)-ROW(AK$15),0),ROUND(ROUND(OFFSET($P24,0,AK$13),15-13*ORÇAMENTO!$AF$7)*OFFSET(ORÇAMENTO!$W$15,ROW(AK24)-ROW(AK$15),0),15-13*ORÇAMENTO!$AF$11)),0)</f>
        <v>0</v>
      </c>
      <c r="AM24" s="211">
        <f ca="1">IF($D24&lt;&gt;"Serviço",0,IF(AND(AUTOEVENTO="Manual",$M24=1),0,IF(OFFSET(CRONOPLE!$F$14,$M24,AM$13)="",10^12,OFFSET(CRONOPLE!$F$14,$M24,AM$13))))</f>
        <v>1000000000000</v>
      </c>
      <c r="AN24" s="211">
        <f ca="1">IF($D24&lt;&gt;"Serviço",0,IF(AND(AUTOEVENTO="Manual",$M24=1),0,IF(OFFSET(CRONOPLE!$F$14,$M24,AN$13)="",10^12,OFFSET(CRONOPLE!$F$14,$M24,AN$13))))</f>
        <v>1000000000000</v>
      </c>
      <c r="AO24" s="211">
        <f ca="1">IF($D24&lt;&gt;"Serviço",0,IF(AND(AUTOEVENTO="Manual",$M24=1),0,IF(OFFSET(CRONOPLE!$F$14,$M24,AO$13)="",10^12,OFFSET(CRONOPLE!$F$14,$M24,AO$13))))</f>
        <v>1000000000000</v>
      </c>
      <c r="AP24" s="211">
        <f ca="1">IF($D24&lt;&gt;"Serviço",0,IF(AND(AUTOEVENTO="Manual",$M24=1),0,IF(OFFSET(CRONOPLE!$F$14,$M24,AP$13)="",10^12,OFFSET(CRONOPLE!$F$14,$M24,AP$13))))</f>
        <v>1000000000000</v>
      </c>
      <c r="AQ24" s="211">
        <f ca="1">IF($D24&lt;&gt;"Serviço",0,IF(AND(AUTOEVENTO="Manual",$M24=1),0,IF(OFFSET(CRONOPLE!$F$14,$M24,AQ$13)="",10^12,OFFSET(CRONOPLE!$F$14,$M24,AQ$13))))</f>
        <v>1000000000000</v>
      </c>
      <c r="AR24" s="211">
        <f ca="1">IF($D24&lt;&gt;"Serviço",0,IF(AND(AUTOEVENTO="Manual",$M24=1),0,IF(OFFSET(CRONOPLE!$F$14,$M24,AR$13)="",10^12,OFFSET(CRONOPLE!$F$14,$M24,AR$13))))</f>
        <v>1000000000000</v>
      </c>
      <c r="AS24" s="211">
        <f ca="1">IF($D24&lt;&gt;"Serviço",0,IF(AND(AUTOEVENTO="Manual",$M24=1),0,IF(OFFSET(CRONOPLE!$F$14,$M24,AS$13)="",10^12,OFFSET(CRONOPLE!$F$14,$M24,AS$13))))</f>
        <v>1000000000000</v>
      </c>
      <c r="AT24" s="211">
        <f ca="1">IF($D24&lt;&gt;"Serviço",0,IF(AND(AUTOEVENTO="Manual",$M24=1),0,IF(OFFSET(CRONOPLE!$F$14,$M24,AT$13)="",10^12,OFFSET(CRONOPLE!$F$14,$M24,AT$13))))</f>
        <v>1000000000000</v>
      </c>
      <c r="AU24" s="211">
        <f ca="1">IF($D24&lt;&gt;"Serviço",0,IF(AND(AUTOEVENTO="Manual",$M24=1),0,IF(OFFSET(CRONOPLE!$F$14,$M24,AU$13)="",10^12,OFFSET(CRONOPLE!$F$14,$M24,AU$13))))</f>
        <v>1000000000000</v>
      </c>
      <c r="AV24" s="211">
        <f ca="1">IF($D24&lt;&gt;"Serviço",0,IF(AND(AUTOEVENTO="Manual",$M24=1),0,IF(OFFSET(CRONOPLE!$F$14,$M24,AV$13)="",10^12,OFFSET(CRONOPLE!$F$14,$M24,AV$13))))</f>
        <v>1000000000000</v>
      </c>
      <c r="AX24" s="212">
        <f ca="1">IF($D24&lt;&gt;"Serviço",0,IF(OR(AND(AUTOEVENTO="Manual",$M24=1),$M24&gt;(ROW(PLE.lastrow)-ROW(PLE.firstrow))),0,IF(OFFSET(PLE!$G$14,$M24,AX$13)="",10^12,OFFSET(PLE!$G$14,$M24,AX$13))))</f>
        <v>1000000000000</v>
      </c>
      <c r="AY24" s="212">
        <f ca="1">IF($D24&lt;&gt;"Serviço",0,IF(OR(AND(AUTOEVENTO="Manual",$M24=1),$M24&gt;(ROW(PLE.lastrow)-ROW(PLE.firstrow))),0,IF(OFFSET(PLE!$G$14,$M24,AY$13)="",10^12,OFFSET(PLE!$G$14,$M24,AY$13))))</f>
        <v>1000000000000</v>
      </c>
      <c r="AZ24" s="212">
        <f ca="1">IF($D24&lt;&gt;"Serviço",0,IF(OR(AND(AUTOEVENTO="Manual",$M24=1),$M24&gt;(ROW(PLE.lastrow)-ROW(PLE.firstrow))),0,IF(OFFSET(PLE!$G$14,$M24,AZ$13)="",10^12,OFFSET(PLE!$G$14,$M24,AZ$13))))</f>
        <v>1000000000000</v>
      </c>
      <c r="BA24" s="212">
        <f ca="1">IF($D24&lt;&gt;"Serviço",0,IF(OR(AND(AUTOEVENTO="Manual",$M24=1),$M24&gt;(ROW(PLE.lastrow)-ROW(PLE.firstrow))),0,IF(OFFSET(PLE!$G$14,$M24,BA$13)="",10^12,OFFSET(PLE!$G$14,$M24,BA$13))))</f>
        <v>1000000000000</v>
      </c>
      <c r="BB24" s="212">
        <f ca="1">IF($D24&lt;&gt;"Serviço",0,IF(OR(AND(AUTOEVENTO="Manual",$M24=1),$M24&gt;(ROW(PLE.lastrow)-ROW(PLE.firstrow))),0,IF(OFFSET(PLE!$G$14,$M24,BB$13)="",10^12,OFFSET(PLE!$G$14,$M24,BB$13))))</f>
        <v>1000000000000</v>
      </c>
      <c r="BC24" s="212">
        <f ca="1">IF($D24&lt;&gt;"Serviço",0,IF(OR(AND(AUTOEVENTO="Manual",$M24=1),$M24&gt;(ROW(PLE.lastrow)-ROW(PLE.firstrow))),0,IF(OFFSET(PLE!$G$14,$M24,BC$13)="",10^12,OFFSET(PLE!$G$14,$M24,BC$13))))</f>
        <v>1000000000000</v>
      </c>
      <c r="BD24" s="212">
        <f ca="1">IF($D24&lt;&gt;"Serviço",0,IF(OR(AND(AUTOEVENTO="Manual",$M24=1),$M24&gt;(ROW(PLE.lastrow)-ROW(PLE.firstrow))),0,IF(OFFSET(PLE!$G$14,$M24,BD$13)="",10^12,OFFSET(PLE!$G$14,$M24,BD$13))))</f>
        <v>1000000000000</v>
      </c>
      <c r="BE24" s="212">
        <f ca="1">IF($D24&lt;&gt;"Serviço",0,IF(OR(AND(AUTOEVENTO="Manual",$M24=1),$M24&gt;(ROW(PLE.lastrow)-ROW(PLE.firstrow))),0,IF(OFFSET(PLE!$G$14,$M24,BE$13)="",10^12,OFFSET(PLE!$G$14,$M24,BE$13))))</f>
        <v>1000000000000</v>
      </c>
      <c r="BF24" s="212">
        <f ca="1">IF($D24&lt;&gt;"Serviço",0,IF(OR(AND(AUTOEVENTO="Manual",$M24=1),$M24&gt;(ROW(PLE.lastrow)-ROW(PLE.firstrow))),0,IF(OFFSET(PLE!$G$14,$M24,BF$13)="",10^12,OFFSET(PLE!$G$14,$M24,BF$13))))</f>
        <v>1000000000000</v>
      </c>
      <c r="BG24" s="212">
        <f ca="1">IF($D24&lt;&gt;"Serviço",0,IF(OR(AND(AUTOEVENTO="Manual",$M24=1),$M24&gt;(ROW(PLE.lastrow)-ROW(PLE.firstrow))),0,IF(OFFSET(PLE!$G$14,$M24,BG$13)="",10^12,OFFSET(PLE!$G$14,$M24,BG$13))))</f>
        <v>1000000000000</v>
      </c>
    </row>
    <row r="25" spans="1:59" ht="25.5">
      <c r="A25" s="9" t="str">
        <f t="shared" ca="1" si="9"/>
        <v>8</v>
      </c>
      <c r="B25" s="9" t="str">
        <f ca="1">OFFSET(ORÇAMENTO!C$15,ROW(B25)-ROW(B$15),0)</f>
        <v>S</v>
      </c>
      <c r="C25" s="9" t="str">
        <f ca="1">OFFSET(ORÇAMENTO!L$15,ROW(C25)-ROW(C$15),0)</f>
        <v/>
      </c>
      <c r="D25" s="141" t="str">
        <f ca="1">OFFSET(ORÇAMENTO!N$15,ROW(D25)-ROW(D$15),0)</f>
        <v>Serviço</v>
      </c>
      <c r="E25" s="201" t="str">
        <f ca="1">OFFSET(ORÇAMENTO!O$15,ROW(E25)-ROW(E$15),0)</f>
        <v>-</v>
      </c>
      <c r="F25" s="202" t="str">
        <f ca="1">OFFSET(ORÇAMENTO!R$15,ROW(F25)-ROW(F$15),0)</f>
        <v>(abra o arquivo 'Referência 07-2024.xlsm)</v>
      </c>
      <c r="G25" s="203" t="str">
        <f ca="1">IF($D25&lt;&gt;"Serviço","",OFFSET(ORÇAMENTO!S$15,ROW(G25)-ROW(G$15),0))</f>
        <v>-</v>
      </c>
      <c r="H25" s="147">
        <f ca="1">IF($D25&lt;&gt;"Serviço",0,IF(ACOMPANHAMENTO="BM",ROUND(OFFSET(ORÇAMENTO!AJ$15,ROW(H25)-ROW(H$15),0),15-13*ORÇAMENTO!$AF$7),SUMPRODUCT(($Q$12:$AA$12&lt;&gt;"")*ROUND($Q25:$AA25,15-13*ORÇAMENTO!$AF$7))))</f>
        <v>26.66</v>
      </c>
      <c r="I25" s="645" t="s">
        <v>496</v>
      </c>
      <c r="K25" s="204"/>
      <c r="L25" s="205" t="s">
        <v>255</v>
      </c>
      <c r="M25" s="206">
        <f ca="1">IF($D25&lt;&gt;"Serviço","",IF(AUTOEVENTO="manual",$A25,IF(ISERROR(MATCH($A25,$A$15:OFFSET($A25,-1,0),0)),MAX($M$15:OFFSET(M25,-1,0))+1,INDEX($M$15:OFFSET(M25,-1,0),MATCH($A25,$A$15:OFFSET($A25,-1,0),0)))))</f>
        <v>3</v>
      </c>
      <c r="N25" s="207" t="str">
        <f ca="1">IF($D25&lt;&gt;"Serviço","",IF(AUTOEVENTO="Manual",IF($A25=0,"&lt;-- defina o número do agrupador",OFFSET(EVENTOS!$D$14,$A25,0)),OFFSET($F$15,$A25,0)))</f>
        <v>ADMINISTRAÇÃO DE OBRA</v>
      </c>
      <c r="O25" s="208"/>
      <c r="Q25" s="208"/>
      <c r="R25" s="209"/>
      <c r="S25" s="209"/>
      <c r="T25" s="209"/>
      <c r="U25" s="209"/>
      <c r="V25" s="209"/>
      <c r="W25" s="209"/>
      <c r="X25" s="209"/>
      <c r="Y25" s="209"/>
      <c r="Z25" s="210"/>
      <c r="AB25" s="626">
        <f ca="1">IF(AND($D25="Serviço",AB$12&lt;&gt;0,$H25&gt;0,OR(AUTOEVENTO&lt;&gt;"manual",$M25&lt;&gt;1)),IF(Import.TipoArredondamento&lt;&gt;"TransfereGOV",ROUND(OFFSET($P25,0,AB$13),15-13*ORÇAMENTO!$AF$7)/$H25*OFFSET(ORÇAMENTO!$X$15,ROW(AB25)-ROW(AB$15),0),ROUND(ROUND(OFFSET($P25,0,AB$13),15-13*ORÇAMENTO!$AF$7)*OFFSET(ORÇAMENTO!$W$15,ROW(AB25)-ROW(AB$15),0),15-13*ORÇAMENTO!$AF$11)),0)</f>
        <v>0</v>
      </c>
      <c r="AC25" s="627">
        <f ca="1">IF(AND($D25="Serviço",AC$12&lt;&gt;0,$H25&gt;0,OR(AUTOEVENTO&lt;&gt;"manual",$M25&lt;&gt;1)),IF(Import.TipoArredondamento&lt;&gt;"TransfereGOV",ROUND(OFFSET($P25,0,AC$13),15-13*ORÇAMENTO!$AF$7)/$H25*OFFSET(ORÇAMENTO!$X$15,ROW(AC25)-ROW(AC$15),0),ROUND(ROUND(OFFSET($P25,0,AC$13),15-13*ORÇAMENTO!$AF$7)*OFFSET(ORÇAMENTO!$W$15,ROW(AC25)-ROW(AC$15),0),15-13*ORÇAMENTO!$AF$11)),0)</f>
        <v>0</v>
      </c>
      <c r="AD25" s="627">
        <f ca="1">IF(AND($D25="Serviço",AD$12&lt;&gt;0,$H25&gt;0,OR(AUTOEVENTO&lt;&gt;"manual",$M25&lt;&gt;1)),IF(Import.TipoArredondamento&lt;&gt;"TransfereGOV",ROUND(OFFSET($P25,0,AD$13),15-13*ORÇAMENTO!$AF$7)/$H25*OFFSET(ORÇAMENTO!$X$15,ROW(AD25)-ROW(AD$15),0),ROUND(ROUND(OFFSET($P25,0,AD$13),15-13*ORÇAMENTO!$AF$7)*OFFSET(ORÇAMENTO!$W$15,ROW(AD25)-ROW(AD$15),0),15-13*ORÇAMENTO!$AF$11)),0)</f>
        <v>0</v>
      </c>
      <c r="AE25" s="627">
        <f ca="1">IF(AND($D25="Serviço",AE$12&lt;&gt;0,$H25&gt;0,OR(AUTOEVENTO&lt;&gt;"manual",$M25&lt;&gt;1)),IF(Import.TipoArredondamento&lt;&gt;"TransfereGOV",ROUND(OFFSET($P25,0,AE$13),15-13*ORÇAMENTO!$AF$7)/$H25*OFFSET(ORÇAMENTO!$X$15,ROW(AE25)-ROW(AE$15),0),ROUND(ROUND(OFFSET($P25,0,AE$13),15-13*ORÇAMENTO!$AF$7)*OFFSET(ORÇAMENTO!$W$15,ROW(AE25)-ROW(AE$15),0),15-13*ORÇAMENTO!$AF$11)),0)</f>
        <v>0</v>
      </c>
      <c r="AF25" s="627">
        <f ca="1">IF(AND($D25="Serviço",AF$12&lt;&gt;0,$H25&gt;0,OR(AUTOEVENTO&lt;&gt;"manual",$M25&lt;&gt;1)),IF(Import.TipoArredondamento&lt;&gt;"TransfereGOV",ROUND(OFFSET($P25,0,AF$13),15-13*ORÇAMENTO!$AF$7)/$H25*OFFSET(ORÇAMENTO!$X$15,ROW(AF25)-ROW(AF$15),0),ROUND(ROUND(OFFSET($P25,0,AF$13),15-13*ORÇAMENTO!$AF$7)*OFFSET(ORÇAMENTO!$W$15,ROW(AF25)-ROW(AF$15),0),15-13*ORÇAMENTO!$AF$11)),0)</f>
        <v>0</v>
      </c>
      <c r="AG25" s="627">
        <f ca="1">IF(AND($D25="Serviço",AG$12&lt;&gt;0,$H25&gt;0,OR(AUTOEVENTO&lt;&gt;"manual",$M25&lt;&gt;1)),IF(Import.TipoArredondamento&lt;&gt;"TransfereGOV",ROUND(OFFSET($P25,0,AG$13),15-13*ORÇAMENTO!$AF$7)/$H25*OFFSET(ORÇAMENTO!$X$15,ROW(AG25)-ROW(AG$15),0),ROUND(ROUND(OFFSET($P25,0,AG$13),15-13*ORÇAMENTO!$AF$7)*OFFSET(ORÇAMENTO!$W$15,ROW(AG25)-ROW(AG$15),0),15-13*ORÇAMENTO!$AF$11)),0)</f>
        <v>0</v>
      </c>
      <c r="AH25" s="627">
        <f ca="1">IF(AND($D25="Serviço",AH$12&lt;&gt;0,$H25&gt;0,OR(AUTOEVENTO&lt;&gt;"manual",$M25&lt;&gt;1)),IF(Import.TipoArredondamento&lt;&gt;"TransfereGOV",ROUND(OFFSET($P25,0,AH$13),15-13*ORÇAMENTO!$AF$7)/$H25*OFFSET(ORÇAMENTO!$X$15,ROW(AH25)-ROW(AH$15),0),ROUND(ROUND(OFFSET($P25,0,AH$13),15-13*ORÇAMENTO!$AF$7)*OFFSET(ORÇAMENTO!$W$15,ROW(AH25)-ROW(AH$15),0),15-13*ORÇAMENTO!$AF$11)),0)</f>
        <v>0</v>
      </c>
      <c r="AI25" s="627">
        <f ca="1">IF(AND($D25="Serviço",AI$12&lt;&gt;0,$H25&gt;0,OR(AUTOEVENTO&lt;&gt;"manual",$M25&lt;&gt;1)),IF(Import.TipoArredondamento&lt;&gt;"TransfereGOV",ROUND(OFFSET($P25,0,AI$13),15-13*ORÇAMENTO!$AF$7)/$H25*OFFSET(ORÇAMENTO!$X$15,ROW(AI25)-ROW(AI$15),0),ROUND(ROUND(OFFSET($P25,0,AI$13),15-13*ORÇAMENTO!$AF$7)*OFFSET(ORÇAMENTO!$W$15,ROW(AI25)-ROW(AI$15),0),15-13*ORÇAMENTO!$AF$11)),0)</f>
        <v>0</v>
      </c>
      <c r="AJ25" s="627">
        <f ca="1">IF(AND($D25="Serviço",AJ$12&lt;&gt;0,$H25&gt;0,OR(AUTOEVENTO&lt;&gt;"manual",$M25&lt;&gt;1)),IF(Import.TipoArredondamento&lt;&gt;"TransfereGOV",ROUND(OFFSET($P25,0,AJ$13),15-13*ORÇAMENTO!$AF$7)/$H25*OFFSET(ORÇAMENTO!$X$15,ROW(AJ25)-ROW(AJ$15),0),ROUND(ROUND(OFFSET($P25,0,AJ$13),15-13*ORÇAMENTO!$AF$7)*OFFSET(ORÇAMENTO!$W$15,ROW(AJ25)-ROW(AJ$15),0),15-13*ORÇAMENTO!$AF$11)),0)</f>
        <v>0</v>
      </c>
      <c r="AK25" s="628">
        <f ca="1">IF(AND($D25="Serviço",AK$12&lt;&gt;0,$H25&gt;0,OR(AUTOEVENTO&lt;&gt;"manual",$M25&lt;&gt;1)),IF(Import.TipoArredondamento&lt;&gt;"TransfereGOV",ROUND(OFFSET($P25,0,AK$13),15-13*ORÇAMENTO!$AF$7)/$H25*OFFSET(ORÇAMENTO!$X$15,ROW(AK25)-ROW(AK$15),0),ROUND(ROUND(OFFSET($P25,0,AK$13),15-13*ORÇAMENTO!$AF$7)*OFFSET(ORÇAMENTO!$W$15,ROW(AK25)-ROW(AK$15),0),15-13*ORÇAMENTO!$AF$11)),0)</f>
        <v>0</v>
      </c>
      <c r="AM25" s="211">
        <f ca="1">IF($D25&lt;&gt;"Serviço",0,IF(AND(AUTOEVENTO="Manual",$M25=1),0,IF(OFFSET(CRONOPLE!$F$14,$M25,AM$13)="",10^12,OFFSET(CRONOPLE!$F$14,$M25,AM$13))))</f>
        <v>1000000000000</v>
      </c>
      <c r="AN25" s="211">
        <f ca="1">IF($D25&lt;&gt;"Serviço",0,IF(AND(AUTOEVENTO="Manual",$M25=1),0,IF(OFFSET(CRONOPLE!$F$14,$M25,AN$13)="",10^12,OFFSET(CRONOPLE!$F$14,$M25,AN$13))))</f>
        <v>1000000000000</v>
      </c>
      <c r="AO25" s="211">
        <f ca="1">IF($D25&lt;&gt;"Serviço",0,IF(AND(AUTOEVENTO="Manual",$M25=1),0,IF(OFFSET(CRONOPLE!$F$14,$M25,AO$13)="",10^12,OFFSET(CRONOPLE!$F$14,$M25,AO$13))))</f>
        <v>1000000000000</v>
      </c>
      <c r="AP25" s="211">
        <f ca="1">IF($D25&lt;&gt;"Serviço",0,IF(AND(AUTOEVENTO="Manual",$M25=1),0,IF(OFFSET(CRONOPLE!$F$14,$M25,AP$13)="",10^12,OFFSET(CRONOPLE!$F$14,$M25,AP$13))))</f>
        <v>1000000000000</v>
      </c>
      <c r="AQ25" s="211">
        <f ca="1">IF($D25&lt;&gt;"Serviço",0,IF(AND(AUTOEVENTO="Manual",$M25=1),0,IF(OFFSET(CRONOPLE!$F$14,$M25,AQ$13)="",10^12,OFFSET(CRONOPLE!$F$14,$M25,AQ$13))))</f>
        <v>1000000000000</v>
      </c>
      <c r="AR25" s="211">
        <f ca="1">IF($D25&lt;&gt;"Serviço",0,IF(AND(AUTOEVENTO="Manual",$M25=1),0,IF(OFFSET(CRONOPLE!$F$14,$M25,AR$13)="",10^12,OFFSET(CRONOPLE!$F$14,$M25,AR$13))))</f>
        <v>1000000000000</v>
      </c>
      <c r="AS25" s="211">
        <f ca="1">IF($D25&lt;&gt;"Serviço",0,IF(AND(AUTOEVENTO="Manual",$M25=1),0,IF(OFFSET(CRONOPLE!$F$14,$M25,AS$13)="",10^12,OFFSET(CRONOPLE!$F$14,$M25,AS$13))))</f>
        <v>1000000000000</v>
      </c>
      <c r="AT25" s="211">
        <f ca="1">IF($D25&lt;&gt;"Serviço",0,IF(AND(AUTOEVENTO="Manual",$M25=1),0,IF(OFFSET(CRONOPLE!$F$14,$M25,AT$13)="",10^12,OFFSET(CRONOPLE!$F$14,$M25,AT$13))))</f>
        <v>1000000000000</v>
      </c>
      <c r="AU25" s="211">
        <f ca="1">IF($D25&lt;&gt;"Serviço",0,IF(AND(AUTOEVENTO="Manual",$M25=1),0,IF(OFFSET(CRONOPLE!$F$14,$M25,AU$13)="",10^12,OFFSET(CRONOPLE!$F$14,$M25,AU$13))))</f>
        <v>1000000000000</v>
      </c>
      <c r="AV25" s="211">
        <f ca="1">IF($D25&lt;&gt;"Serviço",0,IF(AND(AUTOEVENTO="Manual",$M25=1),0,IF(OFFSET(CRONOPLE!$F$14,$M25,AV$13)="",10^12,OFFSET(CRONOPLE!$F$14,$M25,AV$13))))</f>
        <v>1000000000000</v>
      </c>
      <c r="AX25" s="212">
        <f ca="1">IF($D25&lt;&gt;"Serviço",0,IF(OR(AND(AUTOEVENTO="Manual",$M25=1),$M25&gt;(ROW(PLE.lastrow)-ROW(PLE.firstrow))),0,IF(OFFSET(PLE!$G$14,$M25,AX$13)="",10^12,OFFSET(PLE!$G$14,$M25,AX$13))))</f>
        <v>1000000000000</v>
      </c>
      <c r="AY25" s="212">
        <f ca="1">IF($D25&lt;&gt;"Serviço",0,IF(OR(AND(AUTOEVENTO="Manual",$M25=1),$M25&gt;(ROW(PLE.lastrow)-ROW(PLE.firstrow))),0,IF(OFFSET(PLE!$G$14,$M25,AY$13)="",10^12,OFFSET(PLE!$G$14,$M25,AY$13))))</f>
        <v>1000000000000</v>
      </c>
      <c r="AZ25" s="212">
        <f ca="1">IF($D25&lt;&gt;"Serviço",0,IF(OR(AND(AUTOEVENTO="Manual",$M25=1),$M25&gt;(ROW(PLE.lastrow)-ROW(PLE.firstrow))),0,IF(OFFSET(PLE!$G$14,$M25,AZ$13)="",10^12,OFFSET(PLE!$G$14,$M25,AZ$13))))</f>
        <v>1000000000000</v>
      </c>
      <c r="BA25" s="212">
        <f ca="1">IF($D25&lt;&gt;"Serviço",0,IF(OR(AND(AUTOEVENTO="Manual",$M25=1),$M25&gt;(ROW(PLE.lastrow)-ROW(PLE.firstrow))),0,IF(OFFSET(PLE!$G$14,$M25,BA$13)="",10^12,OFFSET(PLE!$G$14,$M25,BA$13))))</f>
        <v>1000000000000</v>
      </c>
      <c r="BB25" s="212">
        <f ca="1">IF($D25&lt;&gt;"Serviço",0,IF(OR(AND(AUTOEVENTO="Manual",$M25=1),$M25&gt;(ROW(PLE.lastrow)-ROW(PLE.firstrow))),0,IF(OFFSET(PLE!$G$14,$M25,BB$13)="",10^12,OFFSET(PLE!$G$14,$M25,BB$13))))</f>
        <v>1000000000000</v>
      </c>
      <c r="BC25" s="212">
        <f ca="1">IF($D25&lt;&gt;"Serviço",0,IF(OR(AND(AUTOEVENTO="Manual",$M25=1),$M25&gt;(ROW(PLE.lastrow)-ROW(PLE.firstrow))),0,IF(OFFSET(PLE!$G$14,$M25,BC$13)="",10^12,OFFSET(PLE!$G$14,$M25,BC$13))))</f>
        <v>1000000000000</v>
      </c>
      <c r="BD25" s="212">
        <f ca="1">IF($D25&lt;&gt;"Serviço",0,IF(OR(AND(AUTOEVENTO="Manual",$M25=1),$M25&gt;(ROW(PLE.lastrow)-ROW(PLE.firstrow))),0,IF(OFFSET(PLE!$G$14,$M25,BD$13)="",10^12,OFFSET(PLE!$G$14,$M25,BD$13))))</f>
        <v>1000000000000</v>
      </c>
      <c r="BE25" s="212">
        <f ca="1">IF($D25&lt;&gt;"Serviço",0,IF(OR(AND(AUTOEVENTO="Manual",$M25=1),$M25&gt;(ROW(PLE.lastrow)-ROW(PLE.firstrow))),0,IF(OFFSET(PLE!$G$14,$M25,BE$13)="",10^12,OFFSET(PLE!$G$14,$M25,BE$13))))</f>
        <v>1000000000000</v>
      </c>
      <c r="BF25" s="212">
        <f ca="1">IF($D25&lt;&gt;"Serviço",0,IF(OR(AND(AUTOEVENTO="Manual",$M25=1),$M25&gt;(ROW(PLE.lastrow)-ROW(PLE.firstrow))),0,IF(OFFSET(PLE!$G$14,$M25,BF$13)="",10^12,OFFSET(PLE!$G$14,$M25,BF$13))))</f>
        <v>1000000000000</v>
      </c>
      <c r="BG25" s="212">
        <f ca="1">IF($D25&lt;&gt;"Serviço",0,IF(OR(AND(AUTOEVENTO="Manual",$M25=1),$M25&gt;(ROW(PLE.lastrow)-ROW(PLE.firstrow))),0,IF(OFFSET(PLE!$G$14,$M25,BG$13)="",10^12,OFFSET(PLE!$G$14,$M25,BG$13))))</f>
        <v>1000000000000</v>
      </c>
    </row>
    <row r="26" spans="1:59" ht="12.75">
      <c r="A26" s="9" t="str">
        <f t="shared" ca="1" si="8"/>
        <v>11.</v>
      </c>
      <c r="B26" s="9">
        <f ca="1">OFFSET(ORÇAMENTO!C$15,ROW(B26)-ROW(B$15),0)</f>
        <v>2</v>
      </c>
      <c r="C26" s="9" t="str">
        <f ca="1">OFFSET(ORÇAMENTO!L$15,ROW(C26)-ROW(C$15),0)</f>
        <v>F</v>
      </c>
      <c r="D26" s="141" t="str">
        <f ca="1">OFFSET(ORÇAMENTO!N$15,ROW(D26)-ROW(D$15),0)</f>
        <v>Nível 2</v>
      </c>
      <c r="E26" s="201" t="str">
        <f ca="1">OFFSET(ORÇAMENTO!O$15,ROW(E26)-ROW(E$15),0)</f>
        <v>1.3.</v>
      </c>
      <c r="F26" s="202" t="str">
        <f ca="1">OFFSET(ORÇAMENTO!R$15,ROW(F26)-ROW(F$15),0)</f>
        <v>MOBILIZAÇÃO</v>
      </c>
      <c r="G26" s="203" t="str">
        <f ca="1">IF($D26&lt;&gt;"Serviço","",OFFSET(ORÇAMENTO!S$15,ROW(G26)-ROW(G$15),0))</f>
        <v/>
      </c>
      <c r="H26" s="147">
        <f ca="1">IF($D26&lt;&gt;"Serviço",0,IF(ACOMPANHAMENTO="BM",ROUND(OFFSET(ORÇAMENTO!AJ$15,ROW(H26)-ROW(H$15),0),15-13*ORÇAMENTO!$AF$7),SUMPRODUCT(($Q$12:$AA$12&lt;&gt;"")*ROUND($Q26:$AA26,15-13*ORÇAMENTO!$AF$7))))</f>
        <v>0</v>
      </c>
      <c r="I26" s="645"/>
      <c r="K26" s="204"/>
      <c r="L26" s="205" t="s">
        <v>255</v>
      </c>
      <c r="M26" s="206" t="str">
        <f ca="1">IF($D26&lt;&gt;"Serviço","",IF(AUTOEVENTO="manual",$A26,IF(ISERROR(MATCH($A26,$A$15:OFFSET($A26,-1,0),0)),MAX($M$15:OFFSET(M26,-1,0))+1,INDEX($M$15:OFFSET(M26,-1,0),MATCH($A26,$A$15:OFFSET($A26,-1,0),0)))))</f>
        <v/>
      </c>
      <c r="N26" s="207" t="str">
        <f ca="1">IF($D26&lt;&gt;"Serviço","",IF(AUTOEVENTO="Manual",IF($A26=0,"&lt;-- defina o número do agrupador",OFFSET(EVENTOS!$D$14,$A26,0)),OFFSET($F$15,$A26,0)))</f>
        <v/>
      </c>
      <c r="O26" s="208"/>
      <c r="Q26" s="208"/>
      <c r="R26" s="209"/>
      <c r="S26" s="209"/>
      <c r="T26" s="209"/>
      <c r="U26" s="209"/>
      <c r="V26" s="209"/>
      <c r="W26" s="209"/>
      <c r="X26" s="209"/>
      <c r="Y26" s="209"/>
      <c r="Z26" s="210"/>
      <c r="AB26" s="626">
        <f ca="1">IF(AND($D26="Serviço",AB$12&lt;&gt;0,$H26&gt;0,OR(AUTOEVENTO&lt;&gt;"manual",$M26&lt;&gt;1)),IF(Import.TipoArredondamento&lt;&gt;"TransfereGOV",ROUND(OFFSET($P26,0,AB$13),15-13*ORÇAMENTO!$AF$7)/$H26*OFFSET(ORÇAMENTO!$X$15,ROW(AB26)-ROW(AB$15),0),ROUND(ROUND(OFFSET($P26,0,AB$13),15-13*ORÇAMENTO!$AF$7)*OFFSET(ORÇAMENTO!$W$15,ROW(AB26)-ROW(AB$15),0),15-13*ORÇAMENTO!$AF$11)),0)</f>
        <v>0</v>
      </c>
      <c r="AC26" s="627">
        <f ca="1">IF(AND($D26="Serviço",AC$12&lt;&gt;0,$H26&gt;0,OR(AUTOEVENTO&lt;&gt;"manual",$M26&lt;&gt;1)),IF(Import.TipoArredondamento&lt;&gt;"TransfereGOV",ROUND(OFFSET($P26,0,AC$13),15-13*ORÇAMENTO!$AF$7)/$H26*OFFSET(ORÇAMENTO!$X$15,ROW(AC26)-ROW(AC$15),0),ROUND(ROUND(OFFSET($P26,0,AC$13),15-13*ORÇAMENTO!$AF$7)*OFFSET(ORÇAMENTO!$W$15,ROW(AC26)-ROW(AC$15),0),15-13*ORÇAMENTO!$AF$11)),0)</f>
        <v>0</v>
      </c>
      <c r="AD26" s="627">
        <f ca="1">IF(AND($D26="Serviço",AD$12&lt;&gt;0,$H26&gt;0,OR(AUTOEVENTO&lt;&gt;"manual",$M26&lt;&gt;1)),IF(Import.TipoArredondamento&lt;&gt;"TransfereGOV",ROUND(OFFSET($P26,0,AD$13),15-13*ORÇAMENTO!$AF$7)/$H26*OFFSET(ORÇAMENTO!$X$15,ROW(AD26)-ROW(AD$15),0),ROUND(ROUND(OFFSET($P26,0,AD$13),15-13*ORÇAMENTO!$AF$7)*OFFSET(ORÇAMENTO!$W$15,ROW(AD26)-ROW(AD$15),0),15-13*ORÇAMENTO!$AF$11)),0)</f>
        <v>0</v>
      </c>
      <c r="AE26" s="627">
        <f ca="1">IF(AND($D26="Serviço",AE$12&lt;&gt;0,$H26&gt;0,OR(AUTOEVENTO&lt;&gt;"manual",$M26&lt;&gt;1)),IF(Import.TipoArredondamento&lt;&gt;"TransfereGOV",ROUND(OFFSET($P26,0,AE$13),15-13*ORÇAMENTO!$AF$7)/$H26*OFFSET(ORÇAMENTO!$X$15,ROW(AE26)-ROW(AE$15),0),ROUND(ROUND(OFFSET($P26,0,AE$13),15-13*ORÇAMENTO!$AF$7)*OFFSET(ORÇAMENTO!$W$15,ROW(AE26)-ROW(AE$15),0),15-13*ORÇAMENTO!$AF$11)),0)</f>
        <v>0</v>
      </c>
      <c r="AF26" s="627">
        <f ca="1">IF(AND($D26="Serviço",AF$12&lt;&gt;0,$H26&gt;0,OR(AUTOEVENTO&lt;&gt;"manual",$M26&lt;&gt;1)),IF(Import.TipoArredondamento&lt;&gt;"TransfereGOV",ROUND(OFFSET($P26,0,AF$13),15-13*ORÇAMENTO!$AF$7)/$H26*OFFSET(ORÇAMENTO!$X$15,ROW(AF26)-ROW(AF$15),0),ROUND(ROUND(OFFSET($P26,0,AF$13),15-13*ORÇAMENTO!$AF$7)*OFFSET(ORÇAMENTO!$W$15,ROW(AF26)-ROW(AF$15),0),15-13*ORÇAMENTO!$AF$11)),0)</f>
        <v>0</v>
      </c>
      <c r="AG26" s="627">
        <f ca="1">IF(AND($D26="Serviço",AG$12&lt;&gt;0,$H26&gt;0,OR(AUTOEVENTO&lt;&gt;"manual",$M26&lt;&gt;1)),IF(Import.TipoArredondamento&lt;&gt;"TransfereGOV",ROUND(OFFSET($P26,0,AG$13),15-13*ORÇAMENTO!$AF$7)/$H26*OFFSET(ORÇAMENTO!$X$15,ROW(AG26)-ROW(AG$15),0),ROUND(ROUND(OFFSET($P26,0,AG$13),15-13*ORÇAMENTO!$AF$7)*OFFSET(ORÇAMENTO!$W$15,ROW(AG26)-ROW(AG$15),0),15-13*ORÇAMENTO!$AF$11)),0)</f>
        <v>0</v>
      </c>
      <c r="AH26" s="627">
        <f ca="1">IF(AND($D26="Serviço",AH$12&lt;&gt;0,$H26&gt;0,OR(AUTOEVENTO&lt;&gt;"manual",$M26&lt;&gt;1)),IF(Import.TipoArredondamento&lt;&gt;"TransfereGOV",ROUND(OFFSET($P26,0,AH$13),15-13*ORÇAMENTO!$AF$7)/$H26*OFFSET(ORÇAMENTO!$X$15,ROW(AH26)-ROW(AH$15),0),ROUND(ROUND(OFFSET($P26,0,AH$13),15-13*ORÇAMENTO!$AF$7)*OFFSET(ORÇAMENTO!$W$15,ROW(AH26)-ROW(AH$15),0),15-13*ORÇAMENTO!$AF$11)),0)</f>
        <v>0</v>
      </c>
      <c r="AI26" s="627">
        <f ca="1">IF(AND($D26="Serviço",AI$12&lt;&gt;0,$H26&gt;0,OR(AUTOEVENTO&lt;&gt;"manual",$M26&lt;&gt;1)),IF(Import.TipoArredondamento&lt;&gt;"TransfereGOV",ROUND(OFFSET($P26,0,AI$13),15-13*ORÇAMENTO!$AF$7)/$H26*OFFSET(ORÇAMENTO!$X$15,ROW(AI26)-ROW(AI$15),0),ROUND(ROUND(OFFSET($P26,0,AI$13),15-13*ORÇAMENTO!$AF$7)*OFFSET(ORÇAMENTO!$W$15,ROW(AI26)-ROW(AI$15),0),15-13*ORÇAMENTO!$AF$11)),0)</f>
        <v>0</v>
      </c>
      <c r="AJ26" s="627">
        <f ca="1">IF(AND($D26="Serviço",AJ$12&lt;&gt;0,$H26&gt;0,OR(AUTOEVENTO&lt;&gt;"manual",$M26&lt;&gt;1)),IF(Import.TipoArredondamento&lt;&gt;"TransfereGOV",ROUND(OFFSET($P26,0,AJ$13),15-13*ORÇAMENTO!$AF$7)/$H26*OFFSET(ORÇAMENTO!$X$15,ROW(AJ26)-ROW(AJ$15),0),ROUND(ROUND(OFFSET($P26,0,AJ$13),15-13*ORÇAMENTO!$AF$7)*OFFSET(ORÇAMENTO!$W$15,ROW(AJ26)-ROW(AJ$15),0),15-13*ORÇAMENTO!$AF$11)),0)</f>
        <v>0</v>
      </c>
      <c r="AK26" s="628">
        <f ca="1">IF(AND($D26="Serviço",AK$12&lt;&gt;0,$H26&gt;0,OR(AUTOEVENTO&lt;&gt;"manual",$M26&lt;&gt;1)),IF(Import.TipoArredondamento&lt;&gt;"TransfereGOV",ROUND(OFFSET($P26,0,AK$13),15-13*ORÇAMENTO!$AF$7)/$H26*OFFSET(ORÇAMENTO!$X$15,ROW(AK26)-ROW(AK$15),0),ROUND(ROUND(OFFSET($P26,0,AK$13),15-13*ORÇAMENTO!$AF$7)*OFFSET(ORÇAMENTO!$W$15,ROW(AK26)-ROW(AK$15),0),15-13*ORÇAMENTO!$AF$11)),0)</f>
        <v>0</v>
      </c>
      <c r="AM26" s="211">
        <f ca="1">IF($D26&lt;&gt;"Serviço",0,IF(AND(AUTOEVENTO="Manual",$M26=1),0,IF(OFFSET(CRONOPLE!$F$14,$M26,AM$13)="",10^12,OFFSET(CRONOPLE!$F$14,$M26,AM$13))))</f>
        <v>0</v>
      </c>
      <c r="AN26" s="211">
        <f ca="1">IF($D26&lt;&gt;"Serviço",0,IF(AND(AUTOEVENTO="Manual",$M26=1),0,IF(OFFSET(CRONOPLE!$F$14,$M26,AN$13)="",10^12,OFFSET(CRONOPLE!$F$14,$M26,AN$13))))</f>
        <v>0</v>
      </c>
      <c r="AO26" s="211">
        <f ca="1">IF($D26&lt;&gt;"Serviço",0,IF(AND(AUTOEVENTO="Manual",$M26=1),0,IF(OFFSET(CRONOPLE!$F$14,$M26,AO$13)="",10^12,OFFSET(CRONOPLE!$F$14,$M26,AO$13))))</f>
        <v>0</v>
      </c>
      <c r="AP26" s="211">
        <f ca="1">IF($D26&lt;&gt;"Serviço",0,IF(AND(AUTOEVENTO="Manual",$M26=1),0,IF(OFFSET(CRONOPLE!$F$14,$M26,AP$13)="",10^12,OFFSET(CRONOPLE!$F$14,$M26,AP$13))))</f>
        <v>0</v>
      </c>
      <c r="AQ26" s="211">
        <f ca="1">IF($D26&lt;&gt;"Serviço",0,IF(AND(AUTOEVENTO="Manual",$M26=1),0,IF(OFFSET(CRONOPLE!$F$14,$M26,AQ$13)="",10^12,OFFSET(CRONOPLE!$F$14,$M26,AQ$13))))</f>
        <v>0</v>
      </c>
      <c r="AR26" s="211">
        <f ca="1">IF($D26&lt;&gt;"Serviço",0,IF(AND(AUTOEVENTO="Manual",$M26=1),0,IF(OFFSET(CRONOPLE!$F$14,$M26,AR$13)="",10^12,OFFSET(CRONOPLE!$F$14,$M26,AR$13))))</f>
        <v>0</v>
      </c>
      <c r="AS26" s="211">
        <f ca="1">IF($D26&lt;&gt;"Serviço",0,IF(AND(AUTOEVENTO="Manual",$M26=1),0,IF(OFFSET(CRONOPLE!$F$14,$M26,AS$13)="",10^12,OFFSET(CRONOPLE!$F$14,$M26,AS$13))))</f>
        <v>0</v>
      </c>
      <c r="AT26" s="211">
        <f ca="1">IF($D26&lt;&gt;"Serviço",0,IF(AND(AUTOEVENTO="Manual",$M26=1),0,IF(OFFSET(CRONOPLE!$F$14,$M26,AT$13)="",10^12,OFFSET(CRONOPLE!$F$14,$M26,AT$13))))</f>
        <v>0</v>
      </c>
      <c r="AU26" s="211">
        <f ca="1">IF($D26&lt;&gt;"Serviço",0,IF(AND(AUTOEVENTO="Manual",$M26=1),0,IF(OFFSET(CRONOPLE!$F$14,$M26,AU$13)="",10^12,OFFSET(CRONOPLE!$F$14,$M26,AU$13))))</f>
        <v>0</v>
      </c>
      <c r="AV26" s="211">
        <f ca="1">IF($D26&lt;&gt;"Serviço",0,IF(AND(AUTOEVENTO="Manual",$M26=1),0,IF(OFFSET(CRONOPLE!$F$14,$M26,AV$13)="",10^12,OFFSET(CRONOPLE!$F$14,$M26,AV$13))))</f>
        <v>0</v>
      </c>
      <c r="AX26" s="212">
        <f ca="1">IF($D26&lt;&gt;"Serviço",0,IF(OR(AND(AUTOEVENTO="Manual",$M26=1),$M26&gt;(ROW(PLE.lastrow)-ROW(PLE.firstrow))),0,IF(OFFSET(PLE!$G$14,$M26,AX$13)="",10^12,OFFSET(PLE!$G$14,$M26,AX$13))))</f>
        <v>0</v>
      </c>
      <c r="AY26" s="212">
        <f ca="1">IF($D26&lt;&gt;"Serviço",0,IF(OR(AND(AUTOEVENTO="Manual",$M26=1),$M26&gt;(ROW(PLE.lastrow)-ROW(PLE.firstrow))),0,IF(OFFSET(PLE!$G$14,$M26,AY$13)="",10^12,OFFSET(PLE!$G$14,$M26,AY$13))))</f>
        <v>0</v>
      </c>
      <c r="AZ26" s="212">
        <f ca="1">IF($D26&lt;&gt;"Serviço",0,IF(OR(AND(AUTOEVENTO="Manual",$M26=1),$M26&gt;(ROW(PLE.lastrow)-ROW(PLE.firstrow))),0,IF(OFFSET(PLE!$G$14,$M26,AZ$13)="",10^12,OFFSET(PLE!$G$14,$M26,AZ$13))))</f>
        <v>0</v>
      </c>
      <c r="BA26" s="212">
        <f ca="1">IF($D26&lt;&gt;"Serviço",0,IF(OR(AND(AUTOEVENTO="Manual",$M26=1),$M26&gt;(ROW(PLE.lastrow)-ROW(PLE.firstrow))),0,IF(OFFSET(PLE!$G$14,$M26,BA$13)="",10^12,OFFSET(PLE!$G$14,$M26,BA$13))))</f>
        <v>0</v>
      </c>
      <c r="BB26" s="212">
        <f ca="1">IF($D26&lt;&gt;"Serviço",0,IF(OR(AND(AUTOEVENTO="Manual",$M26=1),$M26&gt;(ROW(PLE.lastrow)-ROW(PLE.firstrow))),0,IF(OFFSET(PLE!$G$14,$M26,BB$13)="",10^12,OFFSET(PLE!$G$14,$M26,BB$13))))</f>
        <v>0</v>
      </c>
      <c r="BC26" s="212">
        <f ca="1">IF($D26&lt;&gt;"Serviço",0,IF(OR(AND(AUTOEVENTO="Manual",$M26=1),$M26&gt;(ROW(PLE.lastrow)-ROW(PLE.firstrow))),0,IF(OFFSET(PLE!$G$14,$M26,BC$13)="",10^12,OFFSET(PLE!$G$14,$M26,BC$13))))</f>
        <v>0</v>
      </c>
      <c r="BD26" s="212">
        <f ca="1">IF($D26&lt;&gt;"Serviço",0,IF(OR(AND(AUTOEVENTO="Manual",$M26=1),$M26&gt;(ROW(PLE.lastrow)-ROW(PLE.firstrow))),0,IF(OFFSET(PLE!$G$14,$M26,BD$13)="",10^12,OFFSET(PLE!$G$14,$M26,BD$13))))</f>
        <v>0</v>
      </c>
      <c r="BE26" s="212">
        <f ca="1">IF($D26&lt;&gt;"Serviço",0,IF(OR(AND(AUTOEVENTO="Manual",$M26=1),$M26&gt;(ROW(PLE.lastrow)-ROW(PLE.firstrow))),0,IF(OFFSET(PLE!$G$14,$M26,BE$13)="",10^12,OFFSET(PLE!$G$14,$M26,BE$13))))</f>
        <v>0</v>
      </c>
      <c r="BF26" s="212">
        <f ca="1">IF($D26&lt;&gt;"Serviço",0,IF(OR(AND(AUTOEVENTO="Manual",$M26=1),$M26&gt;(ROW(PLE.lastrow)-ROW(PLE.firstrow))),0,IF(OFFSET(PLE!$G$14,$M26,BF$13)="",10^12,OFFSET(PLE!$G$14,$M26,BF$13))))</f>
        <v>0</v>
      </c>
      <c r="BG26" s="212">
        <f ca="1">IF($D26&lt;&gt;"Serviço",0,IF(OR(AND(AUTOEVENTO="Manual",$M26=1),$M26&gt;(ROW(PLE.lastrow)-ROW(PLE.firstrow))),0,IF(OFFSET(PLE!$G$14,$M26,BG$13)="",10^12,OFFSET(PLE!$G$14,$M26,BG$13))))</f>
        <v>0</v>
      </c>
    </row>
    <row r="27" spans="1:59" ht="25.5">
      <c r="A27" s="9" t="str">
        <f t="shared" ca="1" si="8"/>
        <v>11</v>
      </c>
      <c r="B27" s="9" t="str">
        <f ca="1">OFFSET(ORÇAMENTO!C$15,ROW(B27)-ROW(B$15),0)</f>
        <v>S</v>
      </c>
      <c r="C27" s="9" t="str">
        <f ca="1">OFFSET(ORÇAMENTO!L$15,ROW(C27)-ROW(C$15),0)</f>
        <v>F</v>
      </c>
      <c r="D27" s="141" t="str">
        <f ca="1">OFFSET(ORÇAMENTO!N$15,ROW(D27)-ROW(D$15),0)</f>
        <v>Serviço</v>
      </c>
      <c r="E27" s="201" t="str">
        <f ca="1">OFFSET(ORÇAMENTO!O$15,ROW(E27)-ROW(E$15),0)</f>
        <v>1.3.1.</v>
      </c>
      <c r="F27" s="202" t="str">
        <f ca="1">OFFSET(ORÇAMENTO!R$15,ROW(F27)-ROW(F$15),0)</f>
        <v>(abra o arquivo 'Referência 07-2024.xlsm)</v>
      </c>
      <c r="G27" s="203" t="str">
        <f ca="1">IF($D27&lt;&gt;"Serviço","",OFFSET(ORÇAMENTO!S$15,ROW(G27)-ROW(G$15),0))</f>
        <v>-</v>
      </c>
      <c r="H27" s="147">
        <f ca="1">IF($D27&lt;&gt;"Serviço",0,IF(ACOMPANHAMENTO="BM",ROUND(OFFSET(ORÇAMENTO!AJ$15,ROW(H27)-ROW(H$15),0),15-13*ORÇAMENTO!$AF$7),SUMPRODUCT(($Q$12:$AA$12&lt;&gt;"")*ROUND($Q27:$AA27,15-13*ORÇAMENTO!$AF$7))))</f>
        <v>6561.65</v>
      </c>
      <c r="I27" s="645" t="s">
        <v>480</v>
      </c>
      <c r="K27" s="204"/>
      <c r="L27" s="205" t="s">
        <v>255</v>
      </c>
      <c r="M27" s="206">
        <f ca="1">IF($D27&lt;&gt;"Serviço","",IF(AUTOEVENTO="manual",$A27,IF(ISERROR(MATCH($A27,$A$15:OFFSET($A27,-1,0),0)),MAX($M$15:OFFSET(M27,-1,0))+1,INDEX($M$15:OFFSET(M27,-1,0),MATCH($A27,$A$15:OFFSET($A27,-1,0),0)))))</f>
        <v>4</v>
      </c>
      <c r="N27" s="207" t="str">
        <f ca="1">IF($D27&lt;&gt;"Serviço","",IF(AUTOEVENTO="Manual",IF($A27=0,"&lt;-- defina o número do agrupador",OFFSET(EVENTOS!$D$14,$A27,0)),OFFSET($F$15,$A27,0)))</f>
        <v>MOBILIZAÇÃO</v>
      </c>
      <c r="O27" s="208"/>
      <c r="Q27" s="208"/>
      <c r="R27" s="209"/>
      <c r="S27" s="209"/>
      <c r="T27" s="209"/>
      <c r="U27" s="209"/>
      <c r="V27" s="209"/>
      <c r="W27" s="209"/>
      <c r="X27" s="209"/>
      <c r="Y27" s="209"/>
      <c r="Z27" s="210"/>
      <c r="AB27" s="626">
        <f ca="1">IF(AND($D27="Serviço",AB$12&lt;&gt;0,$H27&gt;0,OR(AUTOEVENTO&lt;&gt;"manual",$M27&lt;&gt;1)),IF(Import.TipoArredondamento&lt;&gt;"TransfereGOV",ROUND(OFFSET($P27,0,AB$13),15-13*ORÇAMENTO!$AF$7)/$H27*OFFSET(ORÇAMENTO!$X$15,ROW(AB27)-ROW(AB$15),0),ROUND(ROUND(OFFSET($P27,0,AB$13),15-13*ORÇAMENTO!$AF$7)*OFFSET(ORÇAMENTO!$W$15,ROW(AB27)-ROW(AB$15),0),15-13*ORÇAMENTO!$AF$11)),0)</f>
        <v>0</v>
      </c>
      <c r="AC27" s="627">
        <f ca="1">IF(AND($D27="Serviço",AC$12&lt;&gt;0,$H27&gt;0,OR(AUTOEVENTO&lt;&gt;"manual",$M27&lt;&gt;1)),IF(Import.TipoArredondamento&lt;&gt;"TransfereGOV",ROUND(OFFSET($P27,0,AC$13),15-13*ORÇAMENTO!$AF$7)/$H27*OFFSET(ORÇAMENTO!$X$15,ROW(AC27)-ROW(AC$15),0),ROUND(ROUND(OFFSET($P27,0,AC$13),15-13*ORÇAMENTO!$AF$7)*OFFSET(ORÇAMENTO!$W$15,ROW(AC27)-ROW(AC$15),0),15-13*ORÇAMENTO!$AF$11)),0)</f>
        <v>0</v>
      </c>
      <c r="AD27" s="627">
        <f ca="1">IF(AND($D27="Serviço",AD$12&lt;&gt;0,$H27&gt;0,OR(AUTOEVENTO&lt;&gt;"manual",$M27&lt;&gt;1)),IF(Import.TipoArredondamento&lt;&gt;"TransfereGOV",ROUND(OFFSET($P27,0,AD$13),15-13*ORÇAMENTO!$AF$7)/$H27*OFFSET(ORÇAMENTO!$X$15,ROW(AD27)-ROW(AD$15),0),ROUND(ROUND(OFFSET($P27,0,AD$13),15-13*ORÇAMENTO!$AF$7)*OFFSET(ORÇAMENTO!$W$15,ROW(AD27)-ROW(AD$15),0),15-13*ORÇAMENTO!$AF$11)),0)</f>
        <v>0</v>
      </c>
      <c r="AE27" s="627">
        <f ca="1">IF(AND($D27="Serviço",AE$12&lt;&gt;0,$H27&gt;0,OR(AUTOEVENTO&lt;&gt;"manual",$M27&lt;&gt;1)),IF(Import.TipoArredondamento&lt;&gt;"TransfereGOV",ROUND(OFFSET($P27,0,AE$13),15-13*ORÇAMENTO!$AF$7)/$H27*OFFSET(ORÇAMENTO!$X$15,ROW(AE27)-ROW(AE$15),0),ROUND(ROUND(OFFSET($P27,0,AE$13),15-13*ORÇAMENTO!$AF$7)*OFFSET(ORÇAMENTO!$W$15,ROW(AE27)-ROW(AE$15),0),15-13*ORÇAMENTO!$AF$11)),0)</f>
        <v>0</v>
      </c>
      <c r="AF27" s="627">
        <f ca="1">IF(AND($D27="Serviço",AF$12&lt;&gt;0,$H27&gt;0,OR(AUTOEVENTO&lt;&gt;"manual",$M27&lt;&gt;1)),IF(Import.TipoArredondamento&lt;&gt;"TransfereGOV",ROUND(OFFSET($P27,0,AF$13),15-13*ORÇAMENTO!$AF$7)/$H27*OFFSET(ORÇAMENTO!$X$15,ROW(AF27)-ROW(AF$15),0),ROUND(ROUND(OFFSET($P27,0,AF$13),15-13*ORÇAMENTO!$AF$7)*OFFSET(ORÇAMENTO!$W$15,ROW(AF27)-ROW(AF$15),0),15-13*ORÇAMENTO!$AF$11)),0)</f>
        <v>0</v>
      </c>
      <c r="AG27" s="627">
        <f ca="1">IF(AND($D27="Serviço",AG$12&lt;&gt;0,$H27&gt;0,OR(AUTOEVENTO&lt;&gt;"manual",$M27&lt;&gt;1)),IF(Import.TipoArredondamento&lt;&gt;"TransfereGOV",ROUND(OFFSET($P27,0,AG$13),15-13*ORÇAMENTO!$AF$7)/$H27*OFFSET(ORÇAMENTO!$X$15,ROW(AG27)-ROW(AG$15),0),ROUND(ROUND(OFFSET($P27,0,AG$13),15-13*ORÇAMENTO!$AF$7)*OFFSET(ORÇAMENTO!$W$15,ROW(AG27)-ROW(AG$15),0),15-13*ORÇAMENTO!$AF$11)),0)</f>
        <v>0</v>
      </c>
      <c r="AH27" s="627">
        <f ca="1">IF(AND($D27="Serviço",AH$12&lt;&gt;0,$H27&gt;0,OR(AUTOEVENTO&lt;&gt;"manual",$M27&lt;&gt;1)),IF(Import.TipoArredondamento&lt;&gt;"TransfereGOV",ROUND(OFFSET($P27,0,AH$13),15-13*ORÇAMENTO!$AF$7)/$H27*OFFSET(ORÇAMENTO!$X$15,ROW(AH27)-ROW(AH$15),0),ROUND(ROUND(OFFSET($P27,0,AH$13),15-13*ORÇAMENTO!$AF$7)*OFFSET(ORÇAMENTO!$W$15,ROW(AH27)-ROW(AH$15),0),15-13*ORÇAMENTO!$AF$11)),0)</f>
        <v>0</v>
      </c>
      <c r="AI27" s="627">
        <f ca="1">IF(AND($D27="Serviço",AI$12&lt;&gt;0,$H27&gt;0,OR(AUTOEVENTO&lt;&gt;"manual",$M27&lt;&gt;1)),IF(Import.TipoArredondamento&lt;&gt;"TransfereGOV",ROUND(OFFSET($P27,0,AI$13),15-13*ORÇAMENTO!$AF$7)/$H27*OFFSET(ORÇAMENTO!$X$15,ROW(AI27)-ROW(AI$15),0),ROUND(ROUND(OFFSET($P27,0,AI$13),15-13*ORÇAMENTO!$AF$7)*OFFSET(ORÇAMENTO!$W$15,ROW(AI27)-ROW(AI$15),0),15-13*ORÇAMENTO!$AF$11)),0)</f>
        <v>0</v>
      </c>
      <c r="AJ27" s="627">
        <f ca="1">IF(AND($D27="Serviço",AJ$12&lt;&gt;0,$H27&gt;0,OR(AUTOEVENTO&lt;&gt;"manual",$M27&lt;&gt;1)),IF(Import.TipoArredondamento&lt;&gt;"TransfereGOV",ROUND(OFFSET($P27,0,AJ$13),15-13*ORÇAMENTO!$AF$7)/$H27*OFFSET(ORÇAMENTO!$X$15,ROW(AJ27)-ROW(AJ$15),0),ROUND(ROUND(OFFSET($P27,0,AJ$13),15-13*ORÇAMENTO!$AF$7)*OFFSET(ORÇAMENTO!$W$15,ROW(AJ27)-ROW(AJ$15),0),15-13*ORÇAMENTO!$AF$11)),0)</f>
        <v>0</v>
      </c>
      <c r="AK27" s="628">
        <f ca="1">IF(AND($D27="Serviço",AK$12&lt;&gt;0,$H27&gt;0,OR(AUTOEVENTO&lt;&gt;"manual",$M27&lt;&gt;1)),IF(Import.TipoArredondamento&lt;&gt;"TransfereGOV",ROUND(OFFSET($P27,0,AK$13),15-13*ORÇAMENTO!$AF$7)/$H27*OFFSET(ORÇAMENTO!$X$15,ROW(AK27)-ROW(AK$15),0),ROUND(ROUND(OFFSET($P27,0,AK$13),15-13*ORÇAMENTO!$AF$7)*OFFSET(ORÇAMENTO!$W$15,ROW(AK27)-ROW(AK$15),0),15-13*ORÇAMENTO!$AF$11)),0)</f>
        <v>0</v>
      </c>
      <c r="AM27" s="211">
        <f ca="1">IF($D27&lt;&gt;"Serviço",0,IF(AND(AUTOEVENTO="Manual",$M27=1),0,IF(OFFSET(CRONOPLE!$F$14,$M27,AM$13)="",10^12,OFFSET(CRONOPLE!$F$14,$M27,AM$13))))</f>
        <v>1000000000000</v>
      </c>
      <c r="AN27" s="211">
        <f ca="1">IF($D27&lt;&gt;"Serviço",0,IF(AND(AUTOEVENTO="Manual",$M27=1),0,IF(OFFSET(CRONOPLE!$F$14,$M27,AN$13)="",10^12,OFFSET(CRONOPLE!$F$14,$M27,AN$13))))</f>
        <v>1000000000000</v>
      </c>
      <c r="AO27" s="211">
        <f ca="1">IF($D27&lt;&gt;"Serviço",0,IF(AND(AUTOEVENTO="Manual",$M27=1),0,IF(OFFSET(CRONOPLE!$F$14,$M27,AO$13)="",10^12,OFFSET(CRONOPLE!$F$14,$M27,AO$13))))</f>
        <v>1000000000000</v>
      </c>
      <c r="AP27" s="211">
        <f ca="1">IF($D27&lt;&gt;"Serviço",0,IF(AND(AUTOEVENTO="Manual",$M27=1),0,IF(OFFSET(CRONOPLE!$F$14,$M27,AP$13)="",10^12,OFFSET(CRONOPLE!$F$14,$M27,AP$13))))</f>
        <v>1000000000000</v>
      </c>
      <c r="AQ27" s="211">
        <f ca="1">IF($D27&lt;&gt;"Serviço",0,IF(AND(AUTOEVENTO="Manual",$M27=1),0,IF(OFFSET(CRONOPLE!$F$14,$M27,AQ$13)="",10^12,OFFSET(CRONOPLE!$F$14,$M27,AQ$13))))</f>
        <v>1000000000000</v>
      </c>
      <c r="AR27" s="211">
        <f ca="1">IF($D27&lt;&gt;"Serviço",0,IF(AND(AUTOEVENTO="Manual",$M27=1),0,IF(OFFSET(CRONOPLE!$F$14,$M27,AR$13)="",10^12,OFFSET(CRONOPLE!$F$14,$M27,AR$13))))</f>
        <v>1000000000000</v>
      </c>
      <c r="AS27" s="211">
        <f ca="1">IF($D27&lt;&gt;"Serviço",0,IF(AND(AUTOEVENTO="Manual",$M27=1),0,IF(OFFSET(CRONOPLE!$F$14,$M27,AS$13)="",10^12,OFFSET(CRONOPLE!$F$14,$M27,AS$13))))</f>
        <v>1000000000000</v>
      </c>
      <c r="AT27" s="211">
        <f ca="1">IF($D27&lt;&gt;"Serviço",0,IF(AND(AUTOEVENTO="Manual",$M27=1),0,IF(OFFSET(CRONOPLE!$F$14,$M27,AT$13)="",10^12,OFFSET(CRONOPLE!$F$14,$M27,AT$13))))</f>
        <v>1000000000000</v>
      </c>
      <c r="AU27" s="211">
        <f ca="1">IF($D27&lt;&gt;"Serviço",0,IF(AND(AUTOEVENTO="Manual",$M27=1),0,IF(OFFSET(CRONOPLE!$F$14,$M27,AU$13)="",10^12,OFFSET(CRONOPLE!$F$14,$M27,AU$13))))</f>
        <v>1000000000000</v>
      </c>
      <c r="AV27" s="211">
        <f ca="1">IF($D27&lt;&gt;"Serviço",0,IF(AND(AUTOEVENTO="Manual",$M27=1),0,IF(OFFSET(CRONOPLE!$F$14,$M27,AV$13)="",10^12,OFFSET(CRONOPLE!$F$14,$M27,AV$13))))</f>
        <v>1000000000000</v>
      </c>
      <c r="AX27" s="212">
        <f ca="1">IF($D27&lt;&gt;"Serviço",0,IF(OR(AND(AUTOEVENTO="Manual",$M27=1),$M27&gt;(ROW(PLE.lastrow)-ROW(PLE.firstrow))),0,IF(OFFSET(PLE!$G$14,$M27,AX$13)="",10^12,OFFSET(PLE!$G$14,$M27,AX$13))))</f>
        <v>1000000000000</v>
      </c>
      <c r="AY27" s="212">
        <f ca="1">IF($D27&lt;&gt;"Serviço",0,IF(OR(AND(AUTOEVENTO="Manual",$M27=1),$M27&gt;(ROW(PLE.lastrow)-ROW(PLE.firstrow))),0,IF(OFFSET(PLE!$G$14,$M27,AY$13)="",10^12,OFFSET(PLE!$G$14,$M27,AY$13))))</f>
        <v>1000000000000</v>
      </c>
      <c r="AZ27" s="212">
        <f ca="1">IF($D27&lt;&gt;"Serviço",0,IF(OR(AND(AUTOEVENTO="Manual",$M27=1),$M27&gt;(ROW(PLE.lastrow)-ROW(PLE.firstrow))),0,IF(OFFSET(PLE!$G$14,$M27,AZ$13)="",10^12,OFFSET(PLE!$G$14,$M27,AZ$13))))</f>
        <v>1000000000000</v>
      </c>
      <c r="BA27" s="212">
        <f ca="1">IF($D27&lt;&gt;"Serviço",0,IF(OR(AND(AUTOEVENTO="Manual",$M27=1),$M27&gt;(ROW(PLE.lastrow)-ROW(PLE.firstrow))),0,IF(OFFSET(PLE!$G$14,$M27,BA$13)="",10^12,OFFSET(PLE!$G$14,$M27,BA$13))))</f>
        <v>1000000000000</v>
      </c>
      <c r="BB27" s="212">
        <f ca="1">IF($D27&lt;&gt;"Serviço",0,IF(OR(AND(AUTOEVENTO="Manual",$M27=1),$M27&gt;(ROW(PLE.lastrow)-ROW(PLE.firstrow))),0,IF(OFFSET(PLE!$G$14,$M27,BB$13)="",10^12,OFFSET(PLE!$G$14,$M27,BB$13))))</f>
        <v>1000000000000</v>
      </c>
      <c r="BC27" s="212">
        <f ca="1">IF($D27&lt;&gt;"Serviço",0,IF(OR(AND(AUTOEVENTO="Manual",$M27=1),$M27&gt;(ROW(PLE.lastrow)-ROW(PLE.firstrow))),0,IF(OFFSET(PLE!$G$14,$M27,BC$13)="",10^12,OFFSET(PLE!$G$14,$M27,BC$13))))</f>
        <v>1000000000000</v>
      </c>
      <c r="BD27" s="212">
        <f ca="1">IF($D27&lt;&gt;"Serviço",0,IF(OR(AND(AUTOEVENTO="Manual",$M27=1),$M27&gt;(ROW(PLE.lastrow)-ROW(PLE.firstrow))),0,IF(OFFSET(PLE!$G$14,$M27,BD$13)="",10^12,OFFSET(PLE!$G$14,$M27,BD$13))))</f>
        <v>1000000000000</v>
      </c>
      <c r="BE27" s="212">
        <f ca="1">IF($D27&lt;&gt;"Serviço",0,IF(OR(AND(AUTOEVENTO="Manual",$M27=1),$M27&gt;(ROW(PLE.lastrow)-ROW(PLE.firstrow))),0,IF(OFFSET(PLE!$G$14,$M27,BE$13)="",10^12,OFFSET(PLE!$G$14,$M27,BE$13))))</f>
        <v>1000000000000</v>
      </c>
      <c r="BF27" s="212">
        <f ca="1">IF($D27&lt;&gt;"Serviço",0,IF(OR(AND(AUTOEVENTO="Manual",$M27=1),$M27&gt;(ROW(PLE.lastrow)-ROW(PLE.firstrow))),0,IF(OFFSET(PLE!$G$14,$M27,BF$13)="",10^12,OFFSET(PLE!$G$14,$M27,BF$13))))</f>
        <v>1000000000000</v>
      </c>
      <c r="BG27" s="212">
        <f ca="1">IF($D27&lt;&gt;"Serviço",0,IF(OR(AND(AUTOEVENTO="Manual",$M27=1),$M27&gt;(ROW(PLE.lastrow)-ROW(PLE.firstrow))),0,IF(OFFSET(PLE!$G$14,$M27,BG$13)="",10^12,OFFSET(PLE!$G$14,$M27,BG$13))))</f>
        <v>1000000000000</v>
      </c>
    </row>
    <row r="28" spans="1:59" ht="12.75">
      <c r="A28" s="9" t="str">
        <f t="shared" ca="1" si="8"/>
        <v>13.</v>
      </c>
      <c r="B28" s="9">
        <f ca="1">OFFSET(ORÇAMENTO!C$15,ROW(B28)-ROW(B$15),0)</f>
        <v>2</v>
      </c>
      <c r="C28" s="9" t="str">
        <f ca="1">OFFSET(ORÇAMENTO!L$15,ROW(C28)-ROW(C$15),0)</f>
        <v>F</v>
      </c>
      <c r="D28" s="141" t="str">
        <f ca="1">OFFSET(ORÇAMENTO!N$15,ROW(D28)-ROW(D$15),0)</f>
        <v>Nível 2</v>
      </c>
      <c r="E28" s="201" t="str">
        <f ca="1">OFFSET(ORÇAMENTO!O$15,ROW(E28)-ROW(E$15),0)</f>
        <v>1.4.</v>
      </c>
      <c r="F28" s="202" t="str">
        <f ca="1">OFFSET(ORÇAMENTO!R$15,ROW(F28)-ROW(F$15),0)</f>
        <v>RECAPEAMENTO ASFÁLTICO</v>
      </c>
      <c r="G28" s="203" t="str">
        <f ca="1">IF($D28&lt;&gt;"Serviço","",OFFSET(ORÇAMENTO!S$15,ROW(G28)-ROW(G$15),0))</f>
        <v/>
      </c>
      <c r="H28" s="147">
        <f ca="1">IF($D28&lt;&gt;"Serviço",0,IF(ACOMPANHAMENTO="BM",ROUND(OFFSET(ORÇAMENTO!AJ$15,ROW(H28)-ROW(H$15),0),15-13*ORÇAMENTO!$AF$7),SUMPRODUCT(($Q$12:$AA$12&lt;&gt;"")*ROUND($Q28:$AA28,15-13*ORÇAMENTO!$AF$7))))</f>
        <v>0</v>
      </c>
      <c r="I28" s="645"/>
      <c r="K28" s="204"/>
      <c r="L28" s="205" t="s">
        <v>255</v>
      </c>
      <c r="M28" s="206" t="str">
        <f ca="1">IF($D28&lt;&gt;"Serviço","",IF(AUTOEVENTO="manual",$A28,IF(ISERROR(MATCH($A28,$A$15:OFFSET($A28,-1,0),0)),MAX($M$15:OFFSET(M28,-1,0))+1,INDEX($M$15:OFFSET(M28,-1,0),MATCH($A28,$A$15:OFFSET($A28,-1,0),0)))))</f>
        <v/>
      </c>
      <c r="N28" s="207" t="str">
        <f ca="1">IF($D28&lt;&gt;"Serviço","",IF(AUTOEVENTO="Manual",IF($A28=0,"&lt;-- defina o número do agrupador",OFFSET(EVENTOS!$D$14,$A28,0)),OFFSET($F$15,$A28,0)))</f>
        <v/>
      </c>
      <c r="O28" s="208"/>
      <c r="Q28" s="208"/>
      <c r="R28" s="209"/>
      <c r="S28" s="209"/>
      <c r="T28" s="209"/>
      <c r="U28" s="209"/>
      <c r="V28" s="209"/>
      <c r="W28" s="209"/>
      <c r="X28" s="209"/>
      <c r="Y28" s="209"/>
      <c r="Z28" s="210"/>
      <c r="AB28" s="626">
        <f ca="1">IF(AND($D28="Serviço",AB$12&lt;&gt;0,$H28&gt;0,OR(AUTOEVENTO&lt;&gt;"manual",$M28&lt;&gt;1)),IF(Import.TipoArredondamento&lt;&gt;"TransfereGOV",ROUND(OFFSET($P28,0,AB$13),15-13*ORÇAMENTO!$AF$7)/$H28*OFFSET(ORÇAMENTO!$X$15,ROW(AB28)-ROW(AB$15),0),ROUND(ROUND(OFFSET($P28,0,AB$13),15-13*ORÇAMENTO!$AF$7)*OFFSET(ORÇAMENTO!$W$15,ROW(AB28)-ROW(AB$15),0),15-13*ORÇAMENTO!$AF$11)),0)</f>
        <v>0</v>
      </c>
      <c r="AC28" s="627">
        <f ca="1">IF(AND($D28="Serviço",AC$12&lt;&gt;0,$H28&gt;0,OR(AUTOEVENTO&lt;&gt;"manual",$M28&lt;&gt;1)),IF(Import.TipoArredondamento&lt;&gt;"TransfereGOV",ROUND(OFFSET($P28,0,AC$13),15-13*ORÇAMENTO!$AF$7)/$H28*OFFSET(ORÇAMENTO!$X$15,ROW(AC28)-ROW(AC$15),0),ROUND(ROUND(OFFSET($P28,0,AC$13),15-13*ORÇAMENTO!$AF$7)*OFFSET(ORÇAMENTO!$W$15,ROW(AC28)-ROW(AC$15),0),15-13*ORÇAMENTO!$AF$11)),0)</f>
        <v>0</v>
      </c>
      <c r="AD28" s="627">
        <f ca="1">IF(AND($D28="Serviço",AD$12&lt;&gt;0,$H28&gt;0,OR(AUTOEVENTO&lt;&gt;"manual",$M28&lt;&gt;1)),IF(Import.TipoArredondamento&lt;&gt;"TransfereGOV",ROUND(OFFSET($P28,0,AD$13),15-13*ORÇAMENTO!$AF$7)/$H28*OFFSET(ORÇAMENTO!$X$15,ROW(AD28)-ROW(AD$15),0),ROUND(ROUND(OFFSET($P28,0,AD$13),15-13*ORÇAMENTO!$AF$7)*OFFSET(ORÇAMENTO!$W$15,ROW(AD28)-ROW(AD$15),0),15-13*ORÇAMENTO!$AF$11)),0)</f>
        <v>0</v>
      </c>
      <c r="AE28" s="627">
        <f ca="1">IF(AND($D28="Serviço",AE$12&lt;&gt;0,$H28&gt;0,OR(AUTOEVENTO&lt;&gt;"manual",$M28&lt;&gt;1)),IF(Import.TipoArredondamento&lt;&gt;"TransfereGOV",ROUND(OFFSET($P28,0,AE$13),15-13*ORÇAMENTO!$AF$7)/$H28*OFFSET(ORÇAMENTO!$X$15,ROW(AE28)-ROW(AE$15),0),ROUND(ROUND(OFFSET($P28,0,AE$13),15-13*ORÇAMENTO!$AF$7)*OFFSET(ORÇAMENTO!$W$15,ROW(AE28)-ROW(AE$15),0),15-13*ORÇAMENTO!$AF$11)),0)</f>
        <v>0</v>
      </c>
      <c r="AF28" s="627">
        <f ca="1">IF(AND($D28="Serviço",AF$12&lt;&gt;0,$H28&gt;0,OR(AUTOEVENTO&lt;&gt;"manual",$M28&lt;&gt;1)),IF(Import.TipoArredondamento&lt;&gt;"TransfereGOV",ROUND(OFFSET($P28,0,AF$13),15-13*ORÇAMENTO!$AF$7)/$H28*OFFSET(ORÇAMENTO!$X$15,ROW(AF28)-ROW(AF$15),0),ROUND(ROUND(OFFSET($P28,0,AF$13),15-13*ORÇAMENTO!$AF$7)*OFFSET(ORÇAMENTO!$W$15,ROW(AF28)-ROW(AF$15),0),15-13*ORÇAMENTO!$AF$11)),0)</f>
        <v>0</v>
      </c>
      <c r="AG28" s="627">
        <f ca="1">IF(AND($D28="Serviço",AG$12&lt;&gt;0,$H28&gt;0,OR(AUTOEVENTO&lt;&gt;"manual",$M28&lt;&gt;1)),IF(Import.TipoArredondamento&lt;&gt;"TransfereGOV",ROUND(OFFSET($P28,0,AG$13),15-13*ORÇAMENTO!$AF$7)/$H28*OFFSET(ORÇAMENTO!$X$15,ROW(AG28)-ROW(AG$15),0),ROUND(ROUND(OFFSET($P28,0,AG$13),15-13*ORÇAMENTO!$AF$7)*OFFSET(ORÇAMENTO!$W$15,ROW(AG28)-ROW(AG$15),0),15-13*ORÇAMENTO!$AF$11)),0)</f>
        <v>0</v>
      </c>
      <c r="AH28" s="627">
        <f ca="1">IF(AND($D28="Serviço",AH$12&lt;&gt;0,$H28&gt;0,OR(AUTOEVENTO&lt;&gt;"manual",$M28&lt;&gt;1)),IF(Import.TipoArredondamento&lt;&gt;"TransfereGOV",ROUND(OFFSET($P28,0,AH$13),15-13*ORÇAMENTO!$AF$7)/$H28*OFFSET(ORÇAMENTO!$X$15,ROW(AH28)-ROW(AH$15),0),ROUND(ROUND(OFFSET($P28,0,AH$13),15-13*ORÇAMENTO!$AF$7)*OFFSET(ORÇAMENTO!$W$15,ROW(AH28)-ROW(AH$15),0),15-13*ORÇAMENTO!$AF$11)),0)</f>
        <v>0</v>
      </c>
      <c r="AI28" s="627">
        <f ca="1">IF(AND($D28="Serviço",AI$12&lt;&gt;0,$H28&gt;0,OR(AUTOEVENTO&lt;&gt;"manual",$M28&lt;&gt;1)),IF(Import.TipoArredondamento&lt;&gt;"TransfereGOV",ROUND(OFFSET($P28,0,AI$13),15-13*ORÇAMENTO!$AF$7)/$H28*OFFSET(ORÇAMENTO!$X$15,ROW(AI28)-ROW(AI$15),0),ROUND(ROUND(OFFSET($P28,0,AI$13),15-13*ORÇAMENTO!$AF$7)*OFFSET(ORÇAMENTO!$W$15,ROW(AI28)-ROW(AI$15),0),15-13*ORÇAMENTO!$AF$11)),0)</f>
        <v>0</v>
      </c>
      <c r="AJ28" s="627">
        <f ca="1">IF(AND($D28="Serviço",AJ$12&lt;&gt;0,$H28&gt;0,OR(AUTOEVENTO&lt;&gt;"manual",$M28&lt;&gt;1)),IF(Import.TipoArredondamento&lt;&gt;"TransfereGOV",ROUND(OFFSET($P28,0,AJ$13),15-13*ORÇAMENTO!$AF$7)/$H28*OFFSET(ORÇAMENTO!$X$15,ROW(AJ28)-ROW(AJ$15),0),ROUND(ROUND(OFFSET($P28,0,AJ$13),15-13*ORÇAMENTO!$AF$7)*OFFSET(ORÇAMENTO!$W$15,ROW(AJ28)-ROW(AJ$15),0),15-13*ORÇAMENTO!$AF$11)),0)</f>
        <v>0</v>
      </c>
      <c r="AK28" s="628">
        <f ca="1">IF(AND($D28="Serviço",AK$12&lt;&gt;0,$H28&gt;0,OR(AUTOEVENTO&lt;&gt;"manual",$M28&lt;&gt;1)),IF(Import.TipoArredondamento&lt;&gt;"TransfereGOV",ROUND(OFFSET($P28,0,AK$13),15-13*ORÇAMENTO!$AF$7)/$H28*OFFSET(ORÇAMENTO!$X$15,ROW(AK28)-ROW(AK$15),0),ROUND(ROUND(OFFSET($P28,0,AK$13),15-13*ORÇAMENTO!$AF$7)*OFFSET(ORÇAMENTO!$W$15,ROW(AK28)-ROW(AK$15),0),15-13*ORÇAMENTO!$AF$11)),0)</f>
        <v>0</v>
      </c>
      <c r="AM28" s="211">
        <f ca="1">IF($D28&lt;&gt;"Serviço",0,IF(AND(AUTOEVENTO="Manual",$M28=1),0,IF(OFFSET(CRONOPLE!$F$14,$M28,AM$13)="",10^12,OFFSET(CRONOPLE!$F$14,$M28,AM$13))))</f>
        <v>0</v>
      </c>
      <c r="AN28" s="211">
        <f ca="1">IF($D28&lt;&gt;"Serviço",0,IF(AND(AUTOEVENTO="Manual",$M28=1),0,IF(OFFSET(CRONOPLE!$F$14,$M28,AN$13)="",10^12,OFFSET(CRONOPLE!$F$14,$M28,AN$13))))</f>
        <v>0</v>
      </c>
      <c r="AO28" s="211">
        <f ca="1">IF($D28&lt;&gt;"Serviço",0,IF(AND(AUTOEVENTO="Manual",$M28=1),0,IF(OFFSET(CRONOPLE!$F$14,$M28,AO$13)="",10^12,OFFSET(CRONOPLE!$F$14,$M28,AO$13))))</f>
        <v>0</v>
      </c>
      <c r="AP28" s="211">
        <f ca="1">IF($D28&lt;&gt;"Serviço",0,IF(AND(AUTOEVENTO="Manual",$M28=1),0,IF(OFFSET(CRONOPLE!$F$14,$M28,AP$13)="",10^12,OFFSET(CRONOPLE!$F$14,$M28,AP$13))))</f>
        <v>0</v>
      </c>
      <c r="AQ28" s="211">
        <f ca="1">IF($D28&lt;&gt;"Serviço",0,IF(AND(AUTOEVENTO="Manual",$M28=1),0,IF(OFFSET(CRONOPLE!$F$14,$M28,AQ$13)="",10^12,OFFSET(CRONOPLE!$F$14,$M28,AQ$13))))</f>
        <v>0</v>
      </c>
      <c r="AR28" s="211">
        <f ca="1">IF($D28&lt;&gt;"Serviço",0,IF(AND(AUTOEVENTO="Manual",$M28=1),0,IF(OFFSET(CRONOPLE!$F$14,$M28,AR$13)="",10^12,OFFSET(CRONOPLE!$F$14,$M28,AR$13))))</f>
        <v>0</v>
      </c>
      <c r="AS28" s="211">
        <f ca="1">IF($D28&lt;&gt;"Serviço",0,IF(AND(AUTOEVENTO="Manual",$M28=1),0,IF(OFFSET(CRONOPLE!$F$14,$M28,AS$13)="",10^12,OFFSET(CRONOPLE!$F$14,$M28,AS$13))))</f>
        <v>0</v>
      </c>
      <c r="AT28" s="211">
        <f ca="1">IF($D28&lt;&gt;"Serviço",0,IF(AND(AUTOEVENTO="Manual",$M28=1),0,IF(OFFSET(CRONOPLE!$F$14,$M28,AT$13)="",10^12,OFFSET(CRONOPLE!$F$14,$M28,AT$13))))</f>
        <v>0</v>
      </c>
      <c r="AU28" s="211">
        <f ca="1">IF($D28&lt;&gt;"Serviço",0,IF(AND(AUTOEVENTO="Manual",$M28=1),0,IF(OFFSET(CRONOPLE!$F$14,$M28,AU$13)="",10^12,OFFSET(CRONOPLE!$F$14,$M28,AU$13))))</f>
        <v>0</v>
      </c>
      <c r="AV28" s="211">
        <f ca="1">IF($D28&lt;&gt;"Serviço",0,IF(AND(AUTOEVENTO="Manual",$M28=1),0,IF(OFFSET(CRONOPLE!$F$14,$M28,AV$13)="",10^12,OFFSET(CRONOPLE!$F$14,$M28,AV$13))))</f>
        <v>0</v>
      </c>
      <c r="AX28" s="212">
        <f ca="1">IF($D28&lt;&gt;"Serviço",0,IF(OR(AND(AUTOEVENTO="Manual",$M28=1),$M28&gt;(ROW(PLE.lastrow)-ROW(PLE.firstrow))),0,IF(OFFSET(PLE!$G$14,$M28,AX$13)="",10^12,OFFSET(PLE!$G$14,$M28,AX$13))))</f>
        <v>0</v>
      </c>
      <c r="AY28" s="212">
        <f ca="1">IF($D28&lt;&gt;"Serviço",0,IF(OR(AND(AUTOEVENTO="Manual",$M28=1),$M28&gt;(ROW(PLE.lastrow)-ROW(PLE.firstrow))),0,IF(OFFSET(PLE!$G$14,$M28,AY$13)="",10^12,OFFSET(PLE!$G$14,$M28,AY$13))))</f>
        <v>0</v>
      </c>
      <c r="AZ28" s="212">
        <f ca="1">IF($D28&lt;&gt;"Serviço",0,IF(OR(AND(AUTOEVENTO="Manual",$M28=1),$M28&gt;(ROW(PLE.lastrow)-ROW(PLE.firstrow))),0,IF(OFFSET(PLE!$G$14,$M28,AZ$13)="",10^12,OFFSET(PLE!$G$14,$M28,AZ$13))))</f>
        <v>0</v>
      </c>
      <c r="BA28" s="212">
        <f ca="1">IF($D28&lt;&gt;"Serviço",0,IF(OR(AND(AUTOEVENTO="Manual",$M28=1),$M28&gt;(ROW(PLE.lastrow)-ROW(PLE.firstrow))),0,IF(OFFSET(PLE!$G$14,$M28,BA$13)="",10^12,OFFSET(PLE!$G$14,$M28,BA$13))))</f>
        <v>0</v>
      </c>
      <c r="BB28" s="212">
        <f ca="1">IF($D28&lt;&gt;"Serviço",0,IF(OR(AND(AUTOEVENTO="Manual",$M28=1),$M28&gt;(ROW(PLE.lastrow)-ROW(PLE.firstrow))),0,IF(OFFSET(PLE!$G$14,$M28,BB$13)="",10^12,OFFSET(PLE!$G$14,$M28,BB$13))))</f>
        <v>0</v>
      </c>
      <c r="BC28" s="212">
        <f ca="1">IF($D28&lt;&gt;"Serviço",0,IF(OR(AND(AUTOEVENTO="Manual",$M28=1),$M28&gt;(ROW(PLE.lastrow)-ROW(PLE.firstrow))),0,IF(OFFSET(PLE!$G$14,$M28,BC$13)="",10^12,OFFSET(PLE!$G$14,$M28,BC$13))))</f>
        <v>0</v>
      </c>
      <c r="BD28" s="212">
        <f ca="1">IF($D28&lt;&gt;"Serviço",0,IF(OR(AND(AUTOEVENTO="Manual",$M28=1),$M28&gt;(ROW(PLE.lastrow)-ROW(PLE.firstrow))),0,IF(OFFSET(PLE!$G$14,$M28,BD$13)="",10^12,OFFSET(PLE!$G$14,$M28,BD$13))))</f>
        <v>0</v>
      </c>
      <c r="BE28" s="212">
        <f ca="1">IF($D28&lt;&gt;"Serviço",0,IF(OR(AND(AUTOEVENTO="Manual",$M28=1),$M28&gt;(ROW(PLE.lastrow)-ROW(PLE.firstrow))),0,IF(OFFSET(PLE!$G$14,$M28,BE$13)="",10^12,OFFSET(PLE!$G$14,$M28,BE$13))))</f>
        <v>0</v>
      </c>
      <c r="BF28" s="212">
        <f ca="1">IF($D28&lt;&gt;"Serviço",0,IF(OR(AND(AUTOEVENTO="Manual",$M28=1),$M28&gt;(ROW(PLE.lastrow)-ROW(PLE.firstrow))),0,IF(OFFSET(PLE!$G$14,$M28,BF$13)="",10^12,OFFSET(PLE!$G$14,$M28,BF$13))))</f>
        <v>0</v>
      </c>
      <c r="BG28" s="212">
        <f ca="1">IF($D28&lt;&gt;"Serviço",0,IF(OR(AND(AUTOEVENTO="Manual",$M28=1),$M28&gt;(ROW(PLE.lastrow)-ROW(PLE.firstrow))),0,IF(OFFSET(PLE!$G$14,$M28,BG$13)="",10^12,OFFSET(PLE!$G$14,$M28,BG$13))))</f>
        <v>0</v>
      </c>
    </row>
    <row r="29" spans="1:59" ht="25.5">
      <c r="A29" s="9" t="str">
        <f t="shared" ca="1" si="8"/>
        <v>13</v>
      </c>
      <c r="B29" s="9" t="str">
        <f ca="1">OFFSET(ORÇAMENTO!C$15,ROW(B29)-ROW(B$15),0)</f>
        <v>S</v>
      </c>
      <c r="C29" s="9" t="str">
        <f ca="1">OFFSET(ORÇAMENTO!L$15,ROW(C29)-ROW(C$15),0)</f>
        <v/>
      </c>
      <c r="D29" s="141" t="str">
        <f ca="1">OFFSET(ORÇAMENTO!N$15,ROW(D29)-ROW(D$15),0)</f>
        <v>Serviço</v>
      </c>
      <c r="E29" s="201" t="str">
        <f ca="1">OFFSET(ORÇAMENTO!O$15,ROW(E29)-ROW(E$15),0)</f>
        <v>-</v>
      </c>
      <c r="F29" s="202" t="str">
        <f ca="1">OFFSET(ORÇAMENTO!R$15,ROW(F29)-ROW(F$15),0)</f>
        <v>(abra o arquivo 'Referência 07-2024.xlsm)</v>
      </c>
      <c r="G29" s="203" t="str">
        <f ca="1">IF($D29&lt;&gt;"Serviço","",OFFSET(ORÇAMENTO!S$15,ROW(G29)-ROW(G$15),0))</f>
        <v>-</v>
      </c>
      <c r="H29" s="147">
        <f ca="1">IF($D29&lt;&gt;"Serviço",0,IF(ACOMPANHAMENTO="BM",ROUND(OFFSET(ORÇAMENTO!AJ$15,ROW(H29)-ROW(H$15),0),15-13*ORÇAMENTO!$AF$7),SUMPRODUCT(($Q$12:$AA$12&lt;&gt;"")*ROUND($Q29:$AA29,15-13*ORÇAMENTO!$AF$7))))</f>
        <v>4316.5600000000004</v>
      </c>
      <c r="I29" s="645" t="s">
        <v>489</v>
      </c>
      <c r="K29" s="204"/>
      <c r="L29" s="205" t="s">
        <v>255</v>
      </c>
      <c r="M29" s="206">
        <f ca="1">IF($D29&lt;&gt;"Serviço","",IF(AUTOEVENTO="manual",$A29,IF(ISERROR(MATCH($A29,$A$15:OFFSET($A29,-1,0),0)),MAX($M$15:OFFSET(M29,-1,0))+1,INDEX($M$15:OFFSET(M29,-1,0),MATCH($A29,$A$15:OFFSET($A29,-1,0),0)))))</f>
        <v>5</v>
      </c>
      <c r="N29" s="207" t="str">
        <f ca="1">IF($D29&lt;&gt;"Serviço","",IF(AUTOEVENTO="Manual",IF($A29=0,"&lt;-- defina o número do agrupador",OFFSET(EVENTOS!$D$14,$A29,0)),OFFSET($F$15,$A29,0)))</f>
        <v>RECAPEAMENTO ASFÁLTICO</v>
      </c>
      <c r="O29" s="208"/>
      <c r="Q29" s="208"/>
      <c r="R29" s="209"/>
      <c r="S29" s="209"/>
      <c r="T29" s="209"/>
      <c r="U29" s="209"/>
      <c r="V29" s="209"/>
      <c r="W29" s="209"/>
      <c r="X29" s="209"/>
      <c r="Y29" s="209"/>
      <c r="Z29" s="210"/>
      <c r="AB29" s="626">
        <f ca="1">IF(AND($D29="Serviço",AB$12&lt;&gt;0,$H29&gt;0,OR(AUTOEVENTO&lt;&gt;"manual",$M29&lt;&gt;1)),IF(Import.TipoArredondamento&lt;&gt;"TransfereGOV",ROUND(OFFSET($P29,0,AB$13),15-13*ORÇAMENTO!$AF$7)/$H29*OFFSET(ORÇAMENTO!$X$15,ROW(AB29)-ROW(AB$15),0),ROUND(ROUND(OFFSET($P29,0,AB$13),15-13*ORÇAMENTO!$AF$7)*OFFSET(ORÇAMENTO!$W$15,ROW(AB29)-ROW(AB$15),0),15-13*ORÇAMENTO!$AF$11)),0)</f>
        <v>0</v>
      </c>
      <c r="AC29" s="627">
        <f ca="1">IF(AND($D29="Serviço",AC$12&lt;&gt;0,$H29&gt;0,OR(AUTOEVENTO&lt;&gt;"manual",$M29&lt;&gt;1)),IF(Import.TipoArredondamento&lt;&gt;"TransfereGOV",ROUND(OFFSET($P29,0,AC$13),15-13*ORÇAMENTO!$AF$7)/$H29*OFFSET(ORÇAMENTO!$X$15,ROW(AC29)-ROW(AC$15),0),ROUND(ROUND(OFFSET($P29,0,AC$13),15-13*ORÇAMENTO!$AF$7)*OFFSET(ORÇAMENTO!$W$15,ROW(AC29)-ROW(AC$15),0),15-13*ORÇAMENTO!$AF$11)),0)</f>
        <v>0</v>
      </c>
      <c r="AD29" s="627">
        <f ca="1">IF(AND($D29="Serviço",AD$12&lt;&gt;0,$H29&gt;0,OR(AUTOEVENTO&lt;&gt;"manual",$M29&lt;&gt;1)),IF(Import.TipoArredondamento&lt;&gt;"TransfereGOV",ROUND(OFFSET($P29,0,AD$13),15-13*ORÇAMENTO!$AF$7)/$H29*OFFSET(ORÇAMENTO!$X$15,ROW(AD29)-ROW(AD$15),0),ROUND(ROUND(OFFSET($P29,0,AD$13),15-13*ORÇAMENTO!$AF$7)*OFFSET(ORÇAMENTO!$W$15,ROW(AD29)-ROW(AD$15),0),15-13*ORÇAMENTO!$AF$11)),0)</f>
        <v>0</v>
      </c>
      <c r="AE29" s="627">
        <f ca="1">IF(AND($D29="Serviço",AE$12&lt;&gt;0,$H29&gt;0,OR(AUTOEVENTO&lt;&gt;"manual",$M29&lt;&gt;1)),IF(Import.TipoArredondamento&lt;&gt;"TransfereGOV",ROUND(OFFSET($P29,0,AE$13),15-13*ORÇAMENTO!$AF$7)/$H29*OFFSET(ORÇAMENTO!$X$15,ROW(AE29)-ROW(AE$15),0),ROUND(ROUND(OFFSET($P29,0,AE$13),15-13*ORÇAMENTO!$AF$7)*OFFSET(ORÇAMENTO!$W$15,ROW(AE29)-ROW(AE$15),0),15-13*ORÇAMENTO!$AF$11)),0)</f>
        <v>0</v>
      </c>
      <c r="AF29" s="627">
        <f ca="1">IF(AND($D29="Serviço",AF$12&lt;&gt;0,$H29&gt;0,OR(AUTOEVENTO&lt;&gt;"manual",$M29&lt;&gt;1)),IF(Import.TipoArredondamento&lt;&gt;"TransfereGOV",ROUND(OFFSET($P29,0,AF$13),15-13*ORÇAMENTO!$AF$7)/$H29*OFFSET(ORÇAMENTO!$X$15,ROW(AF29)-ROW(AF$15),0),ROUND(ROUND(OFFSET($P29,0,AF$13),15-13*ORÇAMENTO!$AF$7)*OFFSET(ORÇAMENTO!$W$15,ROW(AF29)-ROW(AF$15),0),15-13*ORÇAMENTO!$AF$11)),0)</f>
        <v>0</v>
      </c>
      <c r="AG29" s="627">
        <f ca="1">IF(AND($D29="Serviço",AG$12&lt;&gt;0,$H29&gt;0,OR(AUTOEVENTO&lt;&gt;"manual",$M29&lt;&gt;1)),IF(Import.TipoArredondamento&lt;&gt;"TransfereGOV",ROUND(OFFSET($P29,0,AG$13),15-13*ORÇAMENTO!$AF$7)/$H29*OFFSET(ORÇAMENTO!$X$15,ROW(AG29)-ROW(AG$15),0),ROUND(ROUND(OFFSET($P29,0,AG$13),15-13*ORÇAMENTO!$AF$7)*OFFSET(ORÇAMENTO!$W$15,ROW(AG29)-ROW(AG$15),0),15-13*ORÇAMENTO!$AF$11)),0)</f>
        <v>0</v>
      </c>
      <c r="AH29" s="627">
        <f ca="1">IF(AND($D29="Serviço",AH$12&lt;&gt;0,$H29&gt;0,OR(AUTOEVENTO&lt;&gt;"manual",$M29&lt;&gt;1)),IF(Import.TipoArredondamento&lt;&gt;"TransfereGOV",ROUND(OFFSET($P29,0,AH$13),15-13*ORÇAMENTO!$AF$7)/$H29*OFFSET(ORÇAMENTO!$X$15,ROW(AH29)-ROW(AH$15),0),ROUND(ROUND(OFFSET($P29,0,AH$13),15-13*ORÇAMENTO!$AF$7)*OFFSET(ORÇAMENTO!$W$15,ROW(AH29)-ROW(AH$15),0),15-13*ORÇAMENTO!$AF$11)),0)</f>
        <v>0</v>
      </c>
      <c r="AI29" s="627">
        <f ca="1">IF(AND($D29="Serviço",AI$12&lt;&gt;0,$H29&gt;0,OR(AUTOEVENTO&lt;&gt;"manual",$M29&lt;&gt;1)),IF(Import.TipoArredondamento&lt;&gt;"TransfereGOV",ROUND(OFFSET($P29,0,AI$13),15-13*ORÇAMENTO!$AF$7)/$H29*OFFSET(ORÇAMENTO!$X$15,ROW(AI29)-ROW(AI$15),0),ROUND(ROUND(OFFSET($P29,0,AI$13),15-13*ORÇAMENTO!$AF$7)*OFFSET(ORÇAMENTO!$W$15,ROW(AI29)-ROW(AI$15),0),15-13*ORÇAMENTO!$AF$11)),0)</f>
        <v>0</v>
      </c>
      <c r="AJ29" s="627">
        <f ca="1">IF(AND($D29="Serviço",AJ$12&lt;&gt;0,$H29&gt;0,OR(AUTOEVENTO&lt;&gt;"manual",$M29&lt;&gt;1)),IF(Import.TipoArredondamento&lt;&gt;"TransfereGOV",ROUND(OFFSET($P29,0,AJ$13),15-13*ORÇAMENTO!$AF$7)/$H29*OFFSET(ORÇAMENTO!$X$15,ROW(AJ29)-ROW(AJ$15),0),ROUND(ROUND(OFFSET($P29,0,AJ$13),15-13*ORÇAMENTO!$AF$7)*OFFSET(ORÇAMENTO!$W$15,ROW(AJ29)-ROW(AJ$15),0),15-13*ORÇAMENTO!$AF$11)),0)</f>
        <v>0</v>
      </c>
      <c r="AK29" s="628">
        <f ca="1">IF(AND($D29="Serviço",AK$12&lt;&gt;0,$H29&gt;0,OR(AUTOEVENTO&lt;&gt;"manual",$M29&lt;&gt;1)),IF(Import.TipoArredondamento&lt;&gt;"TransfereGOV",ROUND(OFFSET($P29,0,AK$13),15-13*ORÇAMENTO!$AF$7)/$H29*OFFSET(ORÇAMENTO!$X$15,ROW(AK29)-ROW(AK$15),0),ROUND(ROUND(OFFSET($P29,0,AK$13),15-13*ORÇAMENTO!$AF$7)*OFFSET(ORÇAMENTO!$W$15,ROW(AK29)-ROW(AK$15),0),15-13*ORÇAMENTO!$AF$11)),0)</f>
        <v>0</v>
      </c>
      <c r="AM29" s="211">
        <f ca="1">IF($D29&lt;&gt;"Serviço",0,IF(AND(AUTOEVENTO="Manual",$M29=1),0,IF(OFFSET(CRONOPLE!$F$14,$M29,AM$13)="",10^12,OFFSET(CRONOPLE!$F$14,$M29,AM$13))))</f>
        <v>1000000000000</v>
      </c>
      <c r="AN29" s="211">
        <f ca="1">IF($D29&lt;&gt;"Serviço",0,IF(AND(AUTOEVENTO="Manual",$M29=1),0,IF(OFFSET(CRONOPLE!$F$14,$M29,AN$13)="",10^12,OFFSET(CRONOPLE!$F$14,$M29,AN$13))))</f>
        <v>1000000000000</v>
      </c>
      <c r="AO29" s="211">
        <f ca="1">IF($D29&lt;&gt;"Serviço",0,IF(AND(AUTOEVENTO="Manual",$M29=1),0,IF(OFFSET(CRONOPLE!$F$14,$M29,AO$13)="",10^12,OFFSET(CRONOPLE!$F$14,$M29,AO$13))))</f>
        <v>1000000000000</v>
      </c>
      <c r="AP29" s="211">
        <f ca="1">IF($D29&lt;&gt;"Serviço",0,IF(AND(AUTOEVENTO="Manual",$M29=1),0,IF(OFFSET(CRONOPLE!$F$14,$M29,AP$13)="",10^12,OFFSET(CRONOPLE!$F$14,$M29,AP$13))))</f>
        <v>1000000000000</v>
      </c>
      <c r="AQ29" s="211">
        <f ca="1">IF($D29&lt;&gt;"Serviço",0,IF(AND(AUTOEVENTO="Manual",$M29=1),0,IF(OFFSET(CRONOPLE!$F$14,$M29,AQ$13)="",10^12,OFFSET(CRONOPLE!$F$14,$M29,AQ$13))))</f>
        <v>1000000000000</v>
      </c>
      <c r="AR29" s="211">
        <f ca="1">IF($D29&lt;&gt;"Serviço",0,IF(AND(AUTOEVENTO="Manual",$M29=1),0,IF(OFFSET(CRONOPLE!$F$14,$M29,AR$13)="",10^12,OFFSET(CRONOPLE!$F$14,$M29,AR$13))))</f>
        <v>1000000000000</v>
      </c>
      <c r="AS29" s="211">
        <f ca="1">IF($D29&lt;&gt;"Serviço",0,IF(AND(AUTOEVENTO="Manual",$M29=1),0,IF(OFFSET(CRONOPLE!$F$14,$M29,AS$13)="",10^12,OFFSET(CRONOPLE!$F$14,$M29,AS$13))))</f>
        <v>1000000000000</v>
      </c>
      <c r="AT29" s="211">
        <f ca="1">IF($D29&lt;&gt;"Serviço",0,IF(AND(AUTOEVENTO="Manual",$M29=1),0,IF(OFFSET(CRONOPLE!$F$14,$M29,AT$13)="",10^12,OFFSET(CRONOPLE!$F$14,$M29,AT$13))))</f>
        <v>1000000000000</v>
      </c>
      <c r="AU29" s="211">
        <f ca="1">IF($D29&lt;&gt;"Serviço",0,IF(AND(AUTOEVENTO="Manual",$M29=1),0,IF(OFFSET(CRONOPLE!$F$14,$M29,AU$13)="",10^12,OFFSET(CRONOPLE!$F$14,$M29,AU$13))))</f>
        <v>1000000000000</v>
      </c>
      <c r="AV29" s="211">
        <f ca="1">IF($D29&lt;&gt;"Serviço",0,IF(AND(AUTOEVENTO="Manual",$M29=1),0,IF(OFFSET(CRONOPLE!$F$14,$M29,AV$13)="",10^12,OFFSET(CRONOPLE!$F$14,$M29,AV$13))))</f>
        <v>1000000000000</v>
      </c>
      <c r="AX29" s="212">
        <f ca="1">IF($D29&lt;&gt;"Serviço",0,IF(OR(AND(AUTOEVENTO="Manual",$M29=1),$M29&gt;(ROW(PLE.lastrow)-ROW(PLE.firstrow))),0,IF(OFFSET(PLE!$G$14,$M29,AX$13)="",10^12,OFFSET(PLE!$G$14,$M29,AX$13))))</f>
        <v>1000000000000</v>
      </c>
      <c r="AY29" s="212">
        <f ca="1">IF($D29&lt;&gt;"Serviço",0,IF(OR(AND(AUTOEVENTO="Manual",$M29=1),$M29&gt;(ROW(PLE.lastrow)-ROW(PLE.firstrow))),0,IF(OFFSET(PLE!$G$14,$M29,AY$13)="",10^12,OFFSET(PLE!$G$14,$M29,AY$13))))</f>
        <v>1000000000000</v>
      </c>
      <c r="AZ29" s="212">
        <f ca="1">IF($D29&lt;&gt;"Serviço",0,IF(OR(AND(AUTOEVENTO="Manual",$M29=1),$M29&gt;(ROW(PLE.lastrow)-ROW(PLE.firstrow))),0,IF(OFFSET(PLE!$G$14,$M29,AZ$13)="",10^12,OFFSET(PLE!$G$14,$M29,AZ$13))))</f>
        <v>1000000000000</v>
      </c>
      <c r="BA29" s="212">
        <f ca="1">IF($D29&lt;&gt;"Serviço",0,IF(OR(AND(AUTOEVENTO="Manual",$M29=1),$M29&gt;(ROW(PLE.lastrow)-ROW(PLE.firstrow))),0,IF(OFFSET(PLE!$G$14,$M29,BA$13)="",10^12,OFFSET(PLE!$G$14,$M29,BA$13))))</f>
        <v>1000000000000</v>
      </c>
      <c r="BB29" s="212">
        <f ca="1">IF($D29&lt;&gt;"Serviço",0,IF(OR(AND(AUTOEVENTO="Manual",$M29=1),$M29&gt;(ROW(PLE.lastrow)-ROW(PLE.firstrow))),0,IF(OFFSET(PLE!$G$14,$M29,BB$13)="",10^12,OFFSET(PLE!$G$14,$M29,BB$13))))</f>
        <v>1000000000000</v>
      </c>
      <c r="BC29" s="212">
        <f ca="1">IF($D29&lt;&gt;"Serviço",0,IF(OR(AND(AUTOEVENTO="Manual",$M29=1),$M29&gt;(ROW(PLE.lastrow)-ROW(PLE.firstrow))),0,IF(OFFSET(PLE!$G$14,$M29,BC$13)="",10^12,OFFSET(PLE!$G$14,$M29,BC$13))))</f>
        <v>1000000000000</v>
      </c>
      <c r="BD29" s="212">
        <f ca="1">IF($D29&lt;&gt;"Serviço",0,IF(OR(AND(AUTOEVENTO="Manual",$M29=1),$M29&gt;(ROW(PLE.lastrow)-ROW(PLE.firstrow))),0,IF(OFFSET(PLE!$G$14,$M29,BD$13)="",10^12,OFFSET(PLE!$G$14,$M29,BD$13))))</f>
        <v>1000000000000</v>
      </c>
      <c r="BE29" s="212">
        <f ca="1">IF($D29&lt;&gt;"Serviço",0,IF(OR(AND(AUTOEVENTO="Manual",$M29=1),$M29&gt;(ROW(PLE.lastrow)-ROW(PLE.firstrow))),0,IF(OFFSET(PLE!$G$14,$M29,BE$13)="",10^12,OFFSET(PLE!$G$14,$M29,BE$13))))</f>
        <v>1000000000000</v>
      </c>
      <c r="BF29" s="212">
        <f ca="1">IF($D29&lt;&gt;"Serviço",0,IF(OR(AND(AUTOEVENTO="Manual",$M29=1),$M29&gt;(ROW(PLE.lastrow)-ROW(PLE.firstrow))),0,IF(OFFSET(PLE!$G$14,$M29,BF$13)="",10^12,OFFSET(PLE!$G$14,$M29,BF$13))))</f>
        <v>1000000000000</v>
      </c>
      <c r="BG29" s="212">
        <f ca="1">IF($D29&lt;&gt;"Serviço",0,IF(OR(AND(AUTOEVENTO="Manual",$M29=1),$M29&gt;(ROW(PLE.lastrow)-ROW(PLE.firstrow))),0,IF(OFFSET(PLE!$G$14,$M29,BG$13)="",10^12,OFFSET(PLE!$G$14,$M29,BG$13))))</f>
        <v>1000000000000</v>
      </c>
    </row>
    <row r="30" spans="1:59" ht="51">
      <c r="A30" s="9" t="str">
        <f ca="1">IF(AUTOEVENTO="Manual",IF(K30&lt;&gt;"",MIN(VALUE(LEFT(K30,FIND(".",K30)-1)),COUNTA(EVENTOS.Lista)),0),IF(OR($B30&gt;AUTOEVENTO,$B30="S",$B30=0),SUBSTITUTE(OFFSET($A30,-1,0),IF($D30="Serviço",".",""),""),ROW(A30)-ROW($A$15)&amp;"."))</f>
        <v>13</v>
      </c>
      <c r="B30" s="9" t="str">
        <f ca="1">OFFSET(ORÇAMENTO!C$15,ROW(B30)-ROW(B$15),0)</f>
        <v>S</v>
      </c>
      <c r="C30" s="9" t="str">
        <f ca="1">OFFSET(ORÇAMENTO!L$15,ROW(C30)-ROW(C$15),0)</f>
        <v/>
      </c>
      <c r="D30" s="141" t="str">
        <f ca="1">OFFSET(ORÇAMENTO!N$15,ROW(D30)-ROW(D$15),0)</f>
        <v>Serviço</v>
      </c>
      <c r="E30" s="201" t="str">
        <f ca="1">OFFSET(ORÇAMENTO!O$15,ROW(E30)-ROW(E$15),0)</f>
        <v>-</v>
      </c>
      <c r="F30" s="202" t="str">
        <f ca="1">OFFSET(ORÇAMENTO!R$15,ROW(F30)-ROW(F$15),0)</f>
        <v>(abra o arquivo 'Referência 07-2024.xlsm)</v>
      </c>
      <c r="G30" s="203" t="str">
        <f ca="1">IF($D30&lt;&gt;"Serviço","",OFFSET(ORÇAMENTO!S$15,ROW(G30)-ROW(G$15),0))</f>
        <v>-</v>
      </c>
      <c r="H30" s="147">
        <f ca="1">IF($D30&lt;&gt;"Serviço",0,IF(ACOMPANHAMENTO="BM",ROUND(OFFSET(ORÇAMENTO!AJ$15,ROW(H30)-ROW(H$15),0),15-13*ORÇAMENTO!$AF$7),SUMPRODUCT(($Q$12:$AA$12&lt;&gt;"")*ROUND($Q30:$AA30,15-13*ORÇAMENTO!$AF$7))))</f>
        <v>429.49</v>
      </c>
      <c r="I30" s="645" t="s">
        <v>490</v>
      </c>
      <c r="K30" s="204"/>
      <c r="L30" s="205" t="s">
        <v>255</v>
      </c>
      <c r="M30" s="206">
        <f ca="1">IF($D30&lt;&gt;"Serviço","",IF(AUTOEVENTO="manual",$A30,IF(ISERROR(MATCH($A30,$A$15:OFFSET($A30,-1,0),0)),MAX($M$15:OFFSET(M30,-1,0))+1,INDEX($M$15:OFFSET(M30,-1,0),MATCH($A30,$A$15:OFFSET($A30,-1,0),0)))))</f>
        <v>5</v>
      </c>
      <c r="N30" s="207" t="str">
        <f ca="1">IF($D30&lt;&gt;"Serviço","",IF(AUTOEVENTO="Manual",IF($A30=0,"&lt;-- defina o número do agrupador",OFFSET(EVENTOS!$D$14,$A30,0)),OFFSET($F$15,$A30,0)))</f>
        <v>RECAPEAMENTO ASFÁLTICO</v>
      </c>
      <c r="O30" s="208"/>
      <c r="Q30" s="208"/>
      <c r="R30" s="209"/>
      <c r="S30" s="209"/>
      <c r="T30" s="209"/>
      <c r="U30" s="209"/>
      <c r="V30" s="209"/>
      <c r="W30" s="209"/>
      <c r="X30" s="209"/>
      <c r="Y30" s="209"/>
      <c r="Z30" s="210"/>
      <c r="AB30" s="626">
        <f ca="1">IF(AND($D30="Serviço",AB$12&lt;&gt;0,$H30&gt;0,OR(AUTOEVENTO&lt;&gt;"manual",$M30&lt;&gt;1)),IF(Import.TipoArredondamento&lt;&gt;"TransfereGOV",ROUND(OFFSET($P30,0,AB$13),15-13*ORÇAMENTO!$AF$7)/$H30*OFFSET(ORÇAMENTO!$X$15,ROW(AB30)-ROW(AB$15),0),ROUND(ROUND(OFFSET($P30,0,AB$13),15-13*ORÇAMENTO!$AF$7)*OFFSET(ORÇAMENTO!$W$15,ROW(AB30)-ROW(AB$15),0),15-13*ORÇAMENTO!$AF$11)),0)</f>
        <v>0</v>
      </c>
      <c r="AC30" s="627">
        <f ca="1">IF(AND($D30="Serviço",AC$12&lt;&gt;0,$H30&gt;0,OR(AUTOEVENTO&lt;&gt;"manual",$M30&lt;&gt;1)),IF(Import.TipoArredondamento&lt;&gt;"TransfereGOV",ROUND(OFFSET($P30,0,AC$13),15-13*ORÇAMENTO!$AF$7)/$H30*OFFSET(ORÇAMENTO!$X$15,ROW(AC30)-ROW(AC$15),0),ROUND(ROUND(OFFSET($P30,0,AC$13),15-13*ORÇAMENTO!$AF$7)*OFFSET(ORÇAMENTO!$W$15,ROW(AC30)-ROW(AC$15),0),15-13*ORÇAMENTO!$AF$11)),0)</f>
        <v>0</v>
      </c>
      <c r="AD30" s="627">
        <f ca="1">IF(AND($D30="Serviço",AD$12&lt;&gt;0,$H30&gt;0,OR(AUTOEVENTO&lt;&gt;"manual",$M30&lt;&gt;1)),IF(Import.TipoArredondamento&lt;&gt;"TransfereGOV",ROUND(OFFSET($P30,0,AD$13),15-13*ORÇAMENTO!$AF$7)/$H30*OFFSET(ORÇAMENTO!$X$15,ROW(AD30)-ROW(AD$15),0),ROUND(ROUND(OFFSET($P30,0,AD$13),15-13*ORÇAMENTO!$AF$7)*OFFSET(ORÇAMENTO!$W$15,ROW(AD30)-ROW(AD$15),0),15-13*ORÇAMENTO!$AF$11)),0)</f>
        <v>0</v>
      </c>
      <c r="AE30" s="627">
        <f ca="1">IF(AND($D30="Serviço",AE$12&lt;&gt;0,$H30&gt;0,OR(AUTOEVENTO&lt;&gt;"manual",$M30&lt;&gt;1)),IF(Import.TipoArredondamento&lt;&gt;"TransfereGOV",ROUND(OFFSET($P30,0,AE$13),15-13*ORÇAMENTO!$AF$7)/$H30*OFFSET(ORÇAMENTO!$X$15,ROW(AE30)-ROW(AE$15),0),ROUND(ROUND(OFFSET($P30,0,AE$13),15-13*ORÇAMENTO!$AF$7)*OFFSET(ORÇAMENTO!$W$15,ROW(AE30)-ROW(AE$15),0),15-13*ORÇAMENTO!$AF$11)),0)</f>
        <v>0</v>
      </c>
      <c r="AF30" s="627">
        <f ca="1">IF(AND($D30="Serviço",AF$12&lt;&gt;0,$H30&gt;0,OR(AUTOEVENTO&lt;&gt;"manual",$M30&lt;&gt;1)),IF(Import.TipoArredondamento&lt;&gt;"TransfereGOV",ROUND(OFFSET($P30,0,AF$13),15-13*ORÇAMENTO!$AF$7)/$H30*OFFSET(ORÇAMENTO!$X$15,ROW(AF30)-ROW(AF$15),0),ROUND(ROUND(OFFSET($P30,0,AF$13),15-13*ORÇAMENTO!$AF$7)*OFFSET(ORÇAMENTO!$W$15,ROW(AF30)-ROW(AF$15),0),15-13*ORÇAMENTO!$AF$11)),0)</f>
        <v>0</v>
      </c>
      <c r="AG30" s="627">
        <f ca="1">IF(AND($D30="Serviço",AG$12&lt;&gt;0,$H30&gt;0,OR(AUTOEVENTO&lt;&gt;"manual",$M30&lt;&gt;1)),IF(Import.TipoArredondamento&lt;&gt;"TransfereGOV",ROUND(OFFSET($P30,0,AG$13),15-13*ORÇAMENTO!$AF$7)/$H30*OFFSET(ORÇAMENTO!$X$15,ROW(AG30)-ROW(AG$15),0),ROUND(ROUND(OFFSET($P30,0,AG$13),15-13*ORÇAMENTO!$AF$7)*OFFSET(ORÇAMENTO!$W$15,ROW(AG30)-ROW(AG$15),0),15-13*ORÇAMENTO!$AF$11)),0)</f>
        <v>0</v>
      </c>
      <c r="AH30" s="627">
        <f ca="1">IF(AND($D30="Serviço",AH$12&lt;&gt;0,$H30&gt;0,OR(AUTOEVENTO&lt;&gt;"manual",$M30&lt;&gt;1)),IF(Import.TipoArredondamento&lt;&gt;"TransfereGOV",ROUND(OFFSET($P30,0,AH$13),15-13*ORÇAMENTO!$AF$7)/$H30*OFFSET(ORÇAMENTO!$X$15,ROW(AH30)-ROW(AH$15),0),ROUND(ROUND(OFFSET($P30,0,AH$13),15-13*ORÇAMENTO!$AF$7)*OFFSET(ORÇAMENTO!$W$15,ROW(AH30)-ROW(AH$15),0),15-13*ORÇAMENTO!$AF$11)),0)</f>
        <v>0</v>
      </c>
      <c r="AI30" s="627">
        <f ca="1">IF(AND($D30="Serviço",AI$12&lt;&gt;0,$H30&gt;0,OR(AUTOEVENTO&lt;&gt;"manual",$M30&lt;&gt;1)),IF(Import.TipoArredondamento&lt;&gt;"TransfereGOV",ROUND(OFFSET($P30,0,AI$13),15-13*ORÇAMENTO!$AF$7)/$H30*OFFSET(ORÇAMENTO!$X$15,ROW(AI30)-ROW(AI$15),0),ROUND(ROUND(OFFSET($P30,0,AI$13),15-13*ORÇAMENTO!$AF$7)*OFFSET(ORÇAMENTO!$W$15,ROW(AI30)-ROW(AI$15),0),15-13*ORÇAMENTO!$AF$11)),0)</f>
        <v>0</v>
      </c>
      <c r="AJ30" s="627">
        <f ca="1">IF(AND($D30="Serviço",AJ$12&lt;&gt;0,$H30&gt;0,OR(AUTOEVENTO&lt;&gt;"manual",$M30&lt;&gt;1)),IF(Import.TipoArredondamento&lt;&gt;"TransfereGOV",ROUND(OFFSET($P30,0,AJ$13),15-13*ORÇAMENTO!$AF$7)/$H30*OFFSET(ORÇAMENTO!$X$15,ROW(AJ30)-ROW(AJ$15),0),ROUND(ROUND(OFFSET($P30,0,AJ$13),15-13*ORÇAMENTO!$AF$7)*OFFSET(ORÇAMENTO!$W$15,ROW(AJ30)-ROW(AJ$15),0),15-13*ORÇAMENTO!$AF$11)),0)</f>
        <v>0</v>
      </c>
      <c r="AK30" s="628">
        <f ca="1">IF(AND($D30="Serviço",AK$12&lt;&gt;0,$H30&gt;0,OR(AUTOEVENTO&lt;&gt;"manual",$M30&lt;&gt;1)),IF(Import.TipoArredondamento&lt;&gt;"TransfereGOV",ROUND(OFFSET($P30,0,AK$13),15-13*ORÇAMENTO!$AF$7)/$H30*OFFSET(ORÇAMENTO!$X$15,ROW(AK30)-ROW(AK$15),0),ROUND(ROUND(OFFSET($P30,0,AK$13),15-13*ORÇAMENTO!$AF$7)*OFFSET(ORÇAMENTO!$W$15,ROW(AK30)-ROW(AK$15),0),15-13*ORÇAMENTO!$AF$11)),0)</f>
        <v>0</v>
      </c>
      <c r="AM30" s="211">
        <f ca="1">IF($D30&lt;&gt;"Serviço",0,IF(AND(AUTOEVENTO="Manual",$M30=1),0,IF(OFFSET(CRONOPLE!$F$14,$M30,AM$13)="",10^12,OFFSET(CRONOPLE!$F$14,$M30,AM$13))))</f>
        <v>1000000000000</v>
      </c>
      <c r="AN30" s="211">
        <f ca="1">IF($D30&lt;&gt;"Serviço",0,IF(AND(AUTOEVENTO="Manual",$M30=1),0,IF(OFFSET(CRONOPLE!$F$14,$M30,AN$13)="",10^12,OFFSET(CRONOPLE!$F$14,$M30,AN$13))))</f>
        <v>1000000000000</v>
      </c>
      <c r="AO30" s="211">
        <f ca="1">IF($D30&lt;&gt;"Serviço",0,IF(AND(AUTOEVENTO="Manual",$M30=1),0,IF(OFFSET(CRONOPLE!$F$14,$M30,AO$13)="",10^12,OFFSET(CRONOPLE!$F$14,$M30,AO$13))))</f>
        <v>1000000000000</v>
      </c>
      <c r="AP30" s="211">
        <f ca="1">IF($D30&lt;&gt;"Serviço",0,IF(AND(AUTOEVENTO="Manual",$M30=1),0,IF(OFFSET(CRONOPLE!$F$14,$M30,AP$13)="",10^12,OFFSET(CRONOPLE!$F$14,$M30,AP$13))))</f>
        <v>1000000000000</v>
      </c>
      <c r="AQ30" s="211">
        <f ca="1">IF($D30&lt;&gt;"Serviço",0,IF(AND(AUTOEVENTO="Manual",$M30=1),0,IF(OFFSET(CRONOPLE!$F$14,$M30,AQ$13)="",10^12,OFFSET(CRONOPLE!$F$14,$M30,AQ$13))))</f>
        <v>1000000000000</v>
      </c>
      <c r="AR30" s="211">
        <f ca="1">IF($D30&lt;&gt;"Serviço",0,IF(AND(AUTOEVENTO="Manual",$M30=1),0,IF(OFFSET(CRONOPLE!$F$14,$M30,AR$13)="",10^12,OFFSET(CRONOPLE!$F$14,$M30,AR$13))))</f>
        <v>1000000000000</v>
      </c>
      <c r="AS30" s="211">
        <f ca="1">IF($D30&lt;&gt;"Serviço",0,IF(AND(AUTOEVENTO="Manual",$M30=1),0,IF(OFFSET(CRONOPLE!$F$14,$M30,AS$13)="",10^12,OFFSET(CRONOPLE!$F$14,$M30,AS$13))))</f>
        <v>1000000000000</v>
      </c>
      <c r="AT30" s="211">
        <f ca="1">IF($D30&lt;&gt;"Serviço",0,IF(AND(AUTOEVENTO="Manual",$M30=1),0,IF(OFFSET(CRONOPLE!$F$14,$M30,AT$13)="",10^12,OFFSET(CRONOPLE!$F$14,$M30,AT$13))))</f>
        <v>1000000000000</v>
      </c>
      <c r="AU30" s="211">
        <f ca="1">IF($D30&lt;&gt;"Serviço",0,IF(AND(AUTOEVENTO="Manual",$M30=1),0,IF(OFFSET(CRONOPLE!$F$14,$M30,AU$13)="",10^12,OFFSET(CRONOPLE!$F$14,$M30,AU$13))))</f>
        <v>1000000000000</v>
      </c>
      <c r="AV30" s="211">
        <f ca="1">IF($D30&lt;&gt;"Serviço",0,IF(AND(AUTOEVENTO="Manual",$M30=1),0,IF(OFFSET(CRONOPLE!$F$14,$M30,AV$13)="",10^12,OFFSET(CRONOPLE!$F$14,$M30,AV$13))))</f>
        <v>1000000000000</v>
      </c>
      <c r="AX30" s="212">
        <f ca="1">IF($D30&lt;&gt;"Serviço",0,IF(OR(AND(AUTOEVENTO="Manual",$M30=1),$M30&gt;(ROW(PLE.lastrow)-ROW(PLE.firstrow))),0,IF(OFFSET(PLE!$G$14,$M30,AX$13)="",10^12,OFFSET(PLE!$G$14,$M30,AX$13))))</f>
        <v>1000000000000</v>
      </c>
      <c r="AY30" s="212">
        <f ca="1">IF($D30&lt;&gt;"Serviço",0,IF(OR(AND(AUTOEVENTO="Manual",$M30=1),$M30&gt;(ROW(PLE.lastrow)-ROW(PLE.firstrow))),0,IF(OFFSET(PLE!$G$14,$M30,AY$13)="",10^12,OFFSET(PLE!$G$14,$M30,AY$13))))</f>
        <v>1000000000000</v>
      </c>
      <c r="AZ30" s="212">
        <f ca="1">IF($D30&lt;&gt;"Serviço",0,IF(OR(AND(AUTOEVENTO="Manual",$M30=1),$M30&gt;(ROW(PLE.lastrow)-ROW(PLE.firstrow))),0,IF(OFFSET(PLE!$G$14,$M30,AZ$13)="",10^12,OFFSET(PLE!$G$14,$M30,AZ$13))))</f>
        <v>1000000000000</v>
      </c>
      <c r="BA30" s="212">
        <f ca="1">IF($D30&lt;&gt;"Serviço",0,IF(OR(AND(AUTOEVENTO="Manual",$M30=1),$M30&gt;(ROW(PLE.lastrow)-ROW(PLE.firstrow))),0,IF(OFFSET(PLE!$G$14,$M30,BA$13)="",10^12,OFFSET(PLE!$G$14,$M30,BA$13))))</f>
        <v>1000000000000</v>
      </c>
      <c r="BB30" s="212">
        <f ca="1">IF($D30&lt;&gt;"Serviço",0,IF(OR(AND(AUTOEVENTO="Manual",$M30=1),$M30&gt;(ROW(PLE.lastrow)-ROW(PLE.firstrow))),0,IF(OFFSET(PLE!$G$14,$M30,BB$13)="",10^12,OFFSET(PLE!$G$14,$M30,BB$13))))</f>
        <v>1000000000000</v>
      </c>
      <c r="BC30" s="212">
        <f ca="1">IF($D30&lt;&gt;"Serviço",0,IF(OR(AND(AUTOEVENTO="Manual",$M30=1),$M30&gt;(ROW(PLE.lastrow)-ROW(PLE.firstrow))),0,IF(OFFSET(PLE!$G$14,$M30,BC$13)="",10^12,OFFSET(PLE!$G$14,$M30,BC$13))))</f>
        <v>1000000000000</v>
      </c>
      <c r="BD30" s="212">
        <f ca="1">IF($D30&lt;&gt;"Serviço",0,IF(OR(AND(AUTOEVENTO="Manual",$M30=1),$M30&gt;(ROW(PLE.lastrow)-ROW(PLE.firstrow))),0,IF(OFFSET(PLE!$G$14,$M30,BD$13)="",10^12,OFFSET(PLE!$G$14,$M30,BD$13))))</f>
        <v>1000000000000</v>
      </c>
      <c r="BE30" s="212">
        <f ca="1">IF($D30&lt;&gt;"Serviço",0,IF(OR(AND(AUTOEVENTO="Manual",$M30=1),$M30&gt;(ROW(PLE.lastrow)-ROW(PLE.firstrow))),0,IF(OFFSET(PLE!$G$14,$M30,BE$13)="",10^12,OFFSET(PLE!$G$14,$M30,BE$13))))</f>
        <v>1000000000000</v>
      </c>
      <c r="BF30" s="212">
        <f ca="1">IF($D30&lt;&gt;"Serviço",0,IF(OR(AND(AUTOEVENTO="Manual",$M30=1),$M30&gt;(ROW(PLE.lastrow)-ROW(PLE.firstrow))),0,IF(OFFSET(PLE!$G$14,$M30,BF$13)="",10^12,OFFSET(PLE!$G$14,$M30,BF$13))))</f>
        <v>1000000000000</v>
      </c>
      <c r="BG30" s="212">
        <f ca="1">IF($D30&lt;&gt;"Serviço",0,IF(OR(AND(AUTOEVENTO="Manual",$M30=1),$M30&gt;(ROW(PLE.lastrow)-ROW(PLE.firstrow))),0,IF(OFFSET(PLE!$G$14,$M30,BG$13)="",10^12,OFFSET(PLE!$G$14,$M30,BG$13))))</f>
        <v>1000000000000</v>
      </c>
    </row>
    <row r="31" spans="1:59" ht="38.25">
      <c r="A31" s="9" t="str">
        <f t="shared" ca="1" si="8"/>
        <v>13</v>
      </c>
      <c r="B31" s="9" t="str">
        <f ca="1">OFFSET(ORÇAMENTO!C$15,ROW(B31)-ROW(B$15),0)</f>
        <v>S</v>
      </c>
      <c r="C31" s="9" t="str">
        <f ca="1">OFFSET(ORÇAMENTO!L$15,ROW(C31)-ROW(C$15),0)</f>
        <v/>
      </c>
      <c r="D31" s="141" t="str">
        <f ca="1">OFFSET(ORÇAMENTO!N$15,ROW(D31)-ROW(D$15),0)</f>
        <v>Serviço</v>
      </c>
      <c r="E31" s="201" t="str">
        <f ca="1">OFFSET(ORÇAMENTO!O$15,ROW(E31)-ROW(E$15),0)</f>
        <v>-</v>
      </c>
      <c r="F31" s="202" t="str">
        <f ca="1">OFFSET(ORÇAMENTO!R$15,ROW(F31)-ROW(F$15),0)</f>
        <v>(abra o arquivo 'Referência 07-2024.xlsm)</v>
      </c>
      <c r="G31" s="203" t="str">
        <f ca="1">IF($D31&lt;&gt;"Serviço","",OFFSET(ORÇAMENTO!S$15,ROW(G31)-ROW(G$15),0))</f>
        <v>-</v>
      </c>
      <c r="H31" s="147">
        <f ca="1">IF($D31&lt;&gt;"Serviço",0,IF(ACOMPANHAMENTO="BM",ROUND(OFFSET(ORÇAMENTO!AJ$15,ROW(H31)-ROW(H$15),0),15-13*ORÇAMENTO!$AF$7),SUMPRODUCT(($Q$12:$AA$12&lt;&gt;"")*ROUND($Q31:$AA31,15-13*ORÇAMENTO!$AF$7))))</f>
        <v>86.33</v>
      </c>
      <c r="I31" s="645" t="s">
        <v>491</v>
      </c>
      <c r="K31" s="204"/>
      <c r="L31" s="205" t="s">
        <v>255</v>
      </c>
      <c r="M31" s="206">
        <f ca="1">IF($D31&lt;&gt;"Serviço","",IF(AUTOEVENTO="manual",$A31,IF(ISERROR(MATCH($A31,$A$15:OFFSET($A31,-1,0),0)),MAX($M$15:OFFSET(M31,-1,0))+1,INDEX($M$15:OFFSET(M31,-1,0),MATCH($A31,$A$15:OFFSET($A31,-1,0),0)))))</f>
        <v>5</v>
      </c>
      <c r="N31" s="207" t="str">
        <f ca="1">IF($D31&lt;&gt;"Serviço","",IF(AUTOEVENTO="Manual",IF($A31=0,"&lt;-- defina o número do agrupador",OFFSET(EVENTOS!$D$14,$A31,0)),OFFSET($F$15,$A31,0)))</f>
        <v>RECAPEAMENTO ASFÁLTICO</v>
      </c>
      <c r="O31" s="208"/>
      <c r="Q31" s="208"/>
      <c r="R31" s="209"/>
      <c r="S31" s="209"/>
      <c r="T31" s="209"/>
      <c r="U31" s="209"/>
      <c r="V31" s="209"/>
      <c r="W31" s="209"/>
      <c r="X31" s="209"/>
      <c r="Y31" s="209"/>
      <c r="Z31" s="210"/>
      <c r="AB31" s="626">
        <f ca="1">IF(AND($D31="Serviço",AB$12&lt;&gt;0,$H31&gt;0,OR(AUTOEVENTO&lt;&gt;"manual",$M31&lt;&gt;1)),IF(Import.TipoArredondamento&lt;&gt;"TransfereGOV",ROUND(OFFSET($P31,0,AB$13),15-13*ORÇAMENTO!$AF$7)/$H31*OFFSET(ORÇAMENTO!$X$15,ROW(AB31)-ROW(AB$15),0),ROUND(ROUND(OFFSET($P31,0,AB$13),15-13*ORÇAMENTO!$AF$7)*OFFSET(ORÇAMENTO!$W$15,ROW(AB31)-ROW(AB$15),0),15-13*ORÇAMENTO!$AF$11)),0)</f>
        <v>0</v>
      </c>
      <c r="AC31" s="627">
        <f ca="1">IF(AND($D31="Serviço",AC$12&lt;&gt;0,$H31&gt;0,OR(AUTOEVENTO&lt;&gt;"manual",$M31&lt;&gt;1)),IF(Import.TipoArredondamento&lt;&gt;"TransfereGOV",ROUND(OFFSET($P31,0,AC$13),15-13*ORÇAMENTO!$AF$7)/$H31*OFFSET(ORÇAMENTO!$X$15,ROW(AC31)-ROW(AC$15),0),ROUND(ROUND(OFFSET($P31,0,AC$13),15-13*ORÇAMENTO!$AF$7)*OFFSET(ORÇAMENTO!$W$15,ROW(AC31)-ROW(AC$15),0),15-13*ORÇAMENTO!$AF$11)),0)</f>
        <v>0</v>
      </c>
      <c r="AD31" s="627">
        <f ca="1">IF(AND($D31="Serviço",AD$12&lt;&gt;0,$H31&gt;0,OR(AUTOEVENTO&lt;&gt;"manual",$M31&lt;&gt;1)),IF(Import.TipoArredondamento&lt;&gt;"TransfereGOV",ROUND(OFFSET($P31,0,AD$13),15-13*ORÇAMENTO!$AF$7)/$H31*OFFSET(ORÇAMENTO!$X$15,ROW(AD31)-ROW(AD$15),0),ROUND(ROUND(OFFSET($P31,0,AD$13),15-13*ORÇAMENTO!$AF$7)*OFFSET(ORÇAMENTO!$W$15,ROW(AD31)-ROW(AD$15),0),15-13*ORÇAMENTO!$AF$11)),0)</f>
        <v>0</v>
      </c>
      <c r="AE31" s="627">
        <f ca="1">IF(AND($D31="Serviço",AE$12&lt;&gt;0,$H31&gt;0,OR(AUTOEVENTO&lt;&gt;"manual",$M31&lt;&gt;1)),IF(Import.TipoArredondamento&lt;&gt;"TransfereGOV",ROUND(OFFSET($P31,0,AE$13),15-13*ORÇAMENTO!$AF$7)/$H31*OFFSET(ORÇAMENTO!$X$15,ROW(AE31)-ROW(AE$15),0),ROUND(ROUND(OFFSET($P31,0,AE$13),15-13*ORÇAMENTO!$AF$7)*OFFSET(ORÇAMENTO!$W$15,ROW(AE31)-ROW(AE$15),0),15-13*ORÇAMENTO!$AF$11)),0)</f>
        <v>0</v>
      </c>
      <c r="AF31" s="627">
        <f ca="1">IF(AND($D31="Serviço",AF$12&lt;&gt;0,$H31&gt;0,OR(AUTOEVENTO&lt;&gt;"manual",$M31&lt;&gt;1)),IF(Import.TipoArredondamento&lt;&gt;"TransfereGOV",ROUND(OFFSET($P31,0,AF$13),15-13*ORÇAMENTO!$AF$7)/$H31*OFFSET(ORÇAMENTO!$X$15,ROW(AF31)-ROW(AF$15),0),ROUND(ROUND(OFFSET($P31,0,AF$13),15-13*ORÇAMENTO!$AF$7)*OFFSET(ORÇAMENTO!$W$15,ROW(AF31)-ROW(AF$15),0),15-13*ORÇAMENTO!$AF$11)),0)</f>
        <v>0</v>
      </c>
      <c r="AG31" s="627">
        <f ca="1">IF(AND($D31="Serviço",AG$12&lt;&gt;0,$H31&gt;0,OR(AUTOEVENTO&lt;&gt;"manual",$M31&lt;&gt;1)),IF(Import.TipoArredondamento&lt;&gt;"TransfereGOV",ROUND(OFFSET($P31,0,AG$13),15-13*ORÇAMENTO!$AF$7)/$H31*OFFSET(ORÇAMENTO!$X$15,ROW(AG31)-ROW(AG$15),0),ROUND(ROUND(OFFSET($P31,0,AG$13),15-13*ORÇAMENTO!$AF$7)*OFFSET(ORÇAMENTO!$W$15,ROW(AG31)-ROW(AG$15),0),15-13*ORÇAMENTO!$AF$11)),0)</f>
        <v>0</v>
      </c>
      <c r="AH31" s="627">
        <f ca="1">IF(AND($D31="Serviço",AH$12&lt;&gt;0,$H31&gt;0,OR(AUTOEVENTO&lt;&gt;"manual",$M31&lt;&gt;1)),IF(Import.TipoArredondamento&lt;&gt;"TransfereGOV",ROUND(OFFSET($P31,0,AH$13),15-13*ORÇAMENTO!$AF$7)/$H31*OFFSET(ORÇAMENTO!$X$15,ROW(AH31)-ROW(AH$15),0),ROUND(ROUND(OFFSET($P31,0,AH$13),15-13*ORÇAMENTO!$AF$7)*OFFSET(ORÇAMENTO!$W$15,ROW(AH31)-ROW(AH$15),0),15-13*ORÇAMENTO!$AF$11)),0)</f>
        <v>0</v>
      </c>
      <c r="AI31" s="627">
        <f ca="1">IF(AND($D31="Serviço",AI$12&lt;&gt;0,$H31&gt;0,OR(AUTOEVENTO&lt;&gt;"manual",$M31&lt;&gt;1)),IF(Import.TipoArredondamento&lt;&gt;"TransfereGOV",ROUND(OFFSET($P31,0,AI$13),15-13*ORÇAMENTO!$AF$7)/$H31*OFFSET(ORÇAMENTO!$X$15,ROW(AI31)-ROW(AI$15),0),ROUND(ROUND(OFFSET($P31,0,AI$13),15-13*ORÇAMENTO!$AF$7)*OFFSET(ORÇAMENTO!$W$15,ROW(AI31)-ROW(AI$15),0),15-13*ORÇAMENTO!$AF$11)),0)</f>
        <v>0</v>
      </c>
      <c r="AJ31" s="627">
        <f ca="1">IF(AND($D31="Serviço",AJ$12&lt;&gt;0,$H31&gt;0,OR(AUTOEVENTO&lt;&gt;"manual",$M31&lt;&gt;1)),IF(Import.TipoArredondamento&lt;&gt;"TransfereGOV",ROUND(OFFSET($P31,0,AJ$13),15-13*ORÇAMENTO!$AF$7)/$H31*OFFSET(ORÇAMENTO!$X$15,ROW(AJ31)-ROW(AJ$15),0),ROUND(ROUND(OFFSET($P31,0,AJ$13),15-13*ORÇAMENTO!$AF$7)*OFFSET(ORÇAMENTO!$W$15,ROW(AJ31)-ROW(AJ$15),0),15-13*ORÇAMENTO!$AF$11)),0)</f>
        <v>0</v>
      </c>
      <c r="AK31" s="628">
        <f ca="1">IF(AND($D31="Serviço",AK$12&lt;&gt;0,$H31&gt;0,OR(AUTOEVENTO&lt;&gt;"manual",$M31&lt;&gt;1)),IF(Import.TipoArredondamento&lt;&gt;"TransfereGOV",ROUND(OFFSET($P31,0,AK$13),15-13*ORÇAMENTO!$AF$7)/$H31*OFFSET(ORÇAMENTO!$X$15,ROW(AK31)-ROW(AK$15),0),ROUND(ROUND(OFFSET($P31,0,AK$13),15-13*ORÇAMENTO!$AF$7)*OFFSET(ORÇAMENTO!$W$15,ROW(AK31)-ROW(AK$15),0),15-13*ORÇAMENTO!$AF$11)),0)</f>
        <v>0</v>
      </c>
      <c r="AM31" s="211">
        <f ca="1">IF($D31&lt;&gt;"Serviço",0,IF(AND(AUTOEVENTO="Manual",$M31=1),0,IF(OFFSET(CRONOPLE!$F$14,$M31,AM$13)="",10^12,OFFSET(CRONOPLE!$F$14,$M31,AM$13))))</f>
        <v>1000000000000</v>
      </c>
      <c r="AN31" s="211">
        <f ca="1">IF($D31&lt;&gt;"Serviço",0,IF(AND(AUTOEVENTO="Manual",$M31=1),0,IF(OFFSET(CRONOPLE!$F$14,$M31,AN$13)="",10^12,OFFSET(CRONOPLE!$F$14,$M31,AN$13))))</f>
        <v>1000000000000</v>
      </c>
      <c r="AO31" s="211">
        <f ca="1">IF($D31&lt;&gt;"Serviço",0,IF(AND(AUTOEVENTO="Manual",$M31=1),0,IF(OFFSET(CRONOPLE!$F$14,$M31,AO$13)="",10^12,OFFSET(CRONOPLE!$F$14,$M31,AO$13))))</f>
        <v>1000000000000</v>
      </c>
      <c r="AP31" s="211">
        <f ca="1">IF($D31&lt;&gt;"Serviço",0,IF(AND(AUTOEVENTO="Manual",$M31=1),0,IF(OFFSET(CRONOPLE!$F$14,$M31,AP$13)="",10^12,OFFSET(CRONOPLE!$F$14,$M31,AP$13))))</f>
        <v>1000000000000</v>
      </c>
      <c r="AQ31" s="211">
        <f ca="1">IF($D31&lt;&gt;"Serviço",0,IF(AND(AUTOEVENTO="Manual",$M31=1),0,IF(OFFSET(CRONOPLE!$F$14,$M31,AQ$13)="",10^12,OFFSET(CRONOPLE!$F$14,$M31,AQ$13))))</f>
        <v>1000000000000</v>
      </c>
      <c r="AR31" s="211">
        <f ca="1">IF($D31&lt;&gt;"Serviço",0,IF(AND(AUTOEVENTO="Manual",$M31=1),0,IF(OFFSET(CRONOPLE!$F$14,$M31,AR$13)="",10^12,OFFSET(CRONOPLE!$F$14,$M31,AR$13))))</f>
        <v>1000000000000</v>
      </c>
      <c r="AS31" s="211">
        <f ca="1">IF($D31&lt;&gt;"Serviço",0,IF(AND(AUTOEVENTO="Manual",$M31=1),0,IF(OFFSET(CRONOPLE!$F$14,$M31,AS$13)="",10^12,OFFSET(CRONOPLE!$F$14,$M31,AS$13))))</f>
        <v>1000000000000</v>
      </c>
      <c r="AT31" s="211">
        <f ca="1">IF($D31&lt;&gt;"Serviço",0,IF(AND(AUTOEVENTO="Manual",$M31=1),0,IF(OFFSET(CRONOPLE!$F$14,$M31,AT$13)="",10^12,OFFSET(CRONOPLE!$F$14,$M31,AT$13))))</f>
        <v>1000000000000</v>
      </c>
      <c r="AU31" s="211">
        <f ca="1">IF($D31&lt;&gt;"Serviço",0,IF(AND(AUTOEVENTO="Manual",$M31=1),0,IF(OFFSET(CRONOPLE!$F$14,$M31,AU$13)="",10^12,OFFSET(CRONOPLE!$F$14,$M31,AU$13))))</f>
        <v>1000000000000</v>
      </c>
      <c r="AV31" s="211">
        <f ca="1">IF($D31&lt;&gt;"Serviço",0,IF(AND(AUTOEVENTO="Manual",$M31=1),0,IF(OFFSET(CRONOPLE!$F$14,$M31,AV$13)="",10^12,OFFSET(CRONOPLE!$F$14,$M31,AV$13))))</f>
        <v>1000000000000</v>
      </c>
      <c r="AX31" s="212">
        <f ca="1">IF($D31&lt;&gt;"Serviço",0,IF(OR(AND(AUTOEVENTO="Manual",$M31=1),$M31&gt;(ROW(PLE.lastrow)-ROW(PLE.firstrow))),0,IF(OFFSET(PLE!$G$14,$M31,AX$13)="",10^12,OFFSET(PLE!$G$14,$M31,AX$13))))</f>
        <v>1000000000000</v>
      </c>
      <c r="AY31" s="212">
        <f ca="1">IF($D31&lt;&gt;"Serviço",0,IF(OR(AND(AUTOEVENTO="Manual",$M31=1),$M31&gt;(ROW(PLE.lastrow)-ROW(PLE.firstrow))),0,IF(OFFSET(PLE!$G$14,$M31,AY$13)="",10^12,OFFSET(PLE!$G$14,$M31,AY$13))))</f>
        <v>1000000000000</v>
      </c>
      <c r="AZ31" s="212">
        <f ca="1">IF($D31&lt;&gt;"Serviço",0,IF(OR(AND(AUTOEVENTO="Manual",$M31=1),$M31&gt;(ROW(PLE.lastrow)-ROW(PLE.firstrow))),0,IF(OFFSET(PLE!$G$14,$M31,AZ$13)="",10^12,OFFSET(PLE!$G$14,$M31,AZ$13))))</f>
        <v>1000000000000</v>
      </c>
      <c r="BA31" s="212">
        <f ca="1">IF($D31&lt;&gt;"Serviço",0,IF(OR(AND(AUTOEVENTO="Manual",$M31=1),$M31&gt;(ROW(PLE.lastrow)-ROW(PLE.firstrow))),0,IF(OFFSET(PLE!$G$14,$M31,BA$13)="",10^12,OFFSET(PLE!$G$14,$M31,BA$13))))</f>
        <v>1000000000000</v>
      </c>
      <c r="BB31" s="212">
        <f ca="1">IF($D31&lt;&gt;"Serviço",0,IF(OR(AND(AUTOEVENTO="Manual",$M31=1),$M31&gt;(ROW(PLE.lastrow)-ROW(PLE.firstrow))),0,IF(OFFSET(PLE!$G$14,$M31,BB$13)="",10^12,OFFSET(PLE!$G$14,$M31,BB$13))))</f>
        <v>1000000000000</v>
      </c>
      <c r="BC31" s="212">
        <f ca="1">IF($D31&lt;&gt;"Serviço",0,IF(OR(AND(AUTOEVENTO="Manual",$M31=1),$M31&gt;(ROW(PLE.lastrow)-ROW(PLE.firstrow))),0,IF(OFFSET(PLE!$G$14,$M31,BC$13)="",10^12,OFFSET(PLE!$G$14,$M31,BC$13))))</f>
        <v>1000000000000</v>
      </c>
      <c r="BD31" s="212">
        <f ca="1">IF($D31&lt;&gt;"Serviço",0,IF(OR(AND(AUTOEVENTO="Manual",$M31=1),$M31&gt;(ROW(PLE.lastrow)-ROW(PLE.firstrow))),0,IF(OFFSET(PLE!$G$14,$M31,BD$13)="",10^12,OFFSET(PLE!$G$14,$M31,BD$13))))</f>
        <v>1000000000000</v>
      </c>
      <c r="BE31" s="212">
        <f ca="1">IF($D31&lt;&gt;"Serviço",0,IF(OR(AND(AUTOEVENTO="Manual",$M31=1),$M31&gt;(ROW(PLE.lastrow)-ROW(PLE.firstrow))),0,IF(OFFSET(PLE!$G$14,$M31,BE$13)="",10^12,OFFSET(PLE!$G$14,$M31,BE$13))))</f>
        <v>1000000000000</v>
      </c>
      <c r="BF31" s="212">
        <f ca="1">IF($D31&lt;&gt;"Serviço",0,IF(OR(AND(AUTOEVENTO="Manual",$M31=1),$M31&gt;(ROW(PLE.lastrow)-ROW(PLE.firstrow))),0,IF(OFFSET(PLE!$G$14,$M31,BF$13)="",10^12,OFFSET(PLE!$G$14,$M31,BF$13))))</f>
        <v>1000000000000</v>
      </c>
      <c r="BG31" s="212">
        <f ca="1">IF($D31&lt;&gt;"Serviço",0,IF(OR(AND(AUTOEVENTO="Manual",$M31=1),$M31&gt;(ROW(PLE.lastrow)-ROW(PLE.firstrow))),0,IF(OFFSET(PLE!$G$14,$M31,BG$13)="",10^12,OFFSET(PLE!$G$14,$M31,BG$13))))</f>
        <v>1000000000000</v>
      </c>
    </row>
    <row r="32" spans="1:59" ht="38.25">
      <c r="A32" s="9" t="str">
        <f t="shared" ca="1" si="8"/>
        <v>13</v>
      </c>
      <c r="B32" s="9" t="str">
        <f ca="1">OFFSET(ORÇAMENTO!C$15,ROW(B32)-ROW(B$15),0)</f>
        <v>S</v>
      </c>
      <c r="C32" s="9" t="str">
        <f ca="1">OFFSET(ORÇAMENTO!L$15,ROW(C32)-ROW(C$15),0)</f>
        <v/>
      </c>
      <c r="D32" s="141" t="str">
        <f ca="1">OFFSET(ORÇAMENTO!N$15,ROW(D32)-ROW(D$15),0)</f>
        <v>Serviço</v>
      </c>
      <c r="E32" s="201" t="str">
        <f ca="1">OFFSET(ORÇAMENTO!O$15,ROW(E32)-ROW(E$15),0)</f>
        <v>-</v>
      </c>
      <c r="F32" s="202" t="str">
        <f ca="1">OFFSET(ORÇAMENTO!R$15,ROW(F32)-ROW(F$15),0)</f>
        <v>(abra o arquivo 'Referência 07-2024.xlsm)</v>
      </c>
      <c r="G32" s="203" t="str">
        <f ca="1">IF($D32&lt;&gt;"Serviço","",OFFSET(ORÇAMENTO!S$15,ROW(G32)-ROW(G$15),0))</f>
        <v>-</v>
      </c>
      <c r="H32" s="147">
        <f ca="1">IF($D32&lt;&gt;"Serviço",0,IF(ACOMPANHAMENTO="BM",ROUND(OFFSET(ORÇAMENTO!AJ$15,ROW(H32)-ROW(H$15),0),15-13*ORÇAMENTO!$AF$7),SUMPRODUCT(($Q$12:$AA$12&lt;&gt;"")*ROUND($Q32:$AA32,15-13*ORÇAMENTO!$AF$7))))</f>
        <v>3021.55</v>
      </c>
      <c r="I32" s="645" t="s">
        <v>492</v>
      </c>
      <c r="K32" s="204"/>
      <c r="L32" s="205" t="s">
        <v>255</v>
      </c>
      <c r="M32" s="206">
        <f ca="1">IF($D32&lt;&gt;"Serviço","",IF(AUTOEVENTO="manual",$A32,IF(ISERROR(MATCH($A32,$A$15:OFFSET($A32,-1,0),0)),MAX($M$15:OFFSET(M32,-1,0))+1,INDEX($M$15:OFFSET(M32,-1,0),MATCH($A32,$A$15:OFFSET($A32,-1,0),0)))))</f>
        <v>5</v>
      </c>
      <c r="N32" s="207" t="str">
        <f ca="1">IF($D32&lt;&gt;"Serviço","",IF(AUTOEVENTO="Manual",IF($A32=0,"&lt;-- defina o número do agrupador",OFFSET(EVENTOS!$D$14,$A32,0)),OFFSET($F$15,$A32,0)))</f>
        <v>RECAPEAMENTO ASFÁLTICO</v>
      </c>
      <c r="O32" s="208"/>
      <c r="Q32" s="208"/>
      <c r="R32" s="209"/>
      <c r="S32" s="209"/>
      <c r="T32" s="209"/>
      <c r="U32" s="209"/>
      <c r="V32" s="209"/>
      <c r="W32" s="209"/>
      <c r="X32" s="209"/>
      <c r="Y32" s="209"/>
      <c r="Z32" s="210"/>
      <c r="AB32" s="626">
        <f ca="1">IF(AND($D32="Serviço",AB$12&lt;&gt;0,$H32&gt;0,OR(AUTOEVENTO&lt;&gt;"manual",$M32&lt;&gt;1)),IF(Import.TipoArredondamento&lt;&gt;"TransfereGOV",ROUND(OFFSET($P32,0,AB$13),15-13*ORÇAMENTO!$AF$7)/$H32*OFFSET(ORÇAMENTO!$X$15,ROW(AB32)-ROW(AB$15),0),ROUND(ROUND(OFFSET($P32,0,AB$13),15-13*ORÇAMENTO!$AF$7)*OFFSET(ORÇAMENTO!$W$15,ROW(AB32)-ROW(AB$15),0),15-13*ORÇAMENTO!$AF$11)),0)</f>
        <v>0</v>
      </c>
      <c r="AC32" s="627">
        <f ca="1">IF(AND($D32="Serviço",AC$12&lt;&gt;0,$H32&gt;0,OR(AUTOEVENTO&lt;&gt;"manual",$M32&lt;&gt;1)),IF(Import.TipoArredondamento&lt;&gt;"TransfereGOV",ROUND(OFFSET($P32,0,AC$13),15-13*ORÇAMENTO!$AF$7)/$H32*OFFSET(ORÇAMENTO!$X$15,ROW(AC32)-ROW(AC$15),0),ROUND(ROUND(OFFSET($P32,0,AC$13),15-13*ORÇAMENTO!$AF$7)*OFFSET(ORÇAMENTO!$W$15,ROW(AC32)-ROW(AC$15),0),15-13*ORÇAMENTO!$AF$11)),0)</f>
        <v>0</v>
      </c>
      <c r="AD32" s="627">
        <f ca="1">IF(AND($D32="Serviço",AD$12&lt;&gt;0,$H32&gt;0,OR(AUTOEVENTO&lt;&gt;"manual",$M32&lt;&gt;1)),IF(Import.TipoArredondamento&lt;&gt;"TransfereGOV",ROUND(OFFSET($P32,0,AD$13),15-13*ORÇAMENTO!$AF$7)/$H32*OFFSET(ORÇAMENTO!$X$15,ROW(AD32)-ROW(AD$15),0),ROUND(ROUND(OFFSET($P32,0,AD$13),15-13*ORÇAMENTO!$AF$7)*OFFSET(ORÇAMENTO!$W$15,ROW(AD32)-ROW(AD$15),0),15-13*ORÇAMENTO!$AF$11)),0)</f>
        <v>0</v>
      </c>
      <c r="AE32" s="627">
        <f ca="1">IF(AND($D32="Serviço",AE$12&lt;&gt;0,$H32&gt;0,OR(AUTOEVENTO&lt;&gt;"manual",$M32&lt;&gt;1)),IF(Import.TipoArredondamento&lt;&gt;"TransfereGOV",ROUND(OFFSET($P32,0,AE$13),15-13*ORÇAMENTO!$AF$7)/$H32*OFFSET(ORÇAMENTO!$X$15,ROW(AE32)-ROW(AE$15),0),ROUND(ROUND(OFFSET($P32,0,AE$13),15-13*ORÇAMENTO!$AF$7)*OFFSET(ORÇAMENTO!$W$15,ROW(AE32)-ROW(AE$15),0),15-13*ORÇAMENTO!$AF$11)),0)</f>
        <v>0</v>
      </c>
      <c r="AF32" s="627">
        <f ca="1">IF(AND($D32="Serviço",AF$12&lt;&gt;0,$H32&gt;0,OR(AUTOEVENTO&lt;&gt;"manual",$M32&lt;&gt;1)),IF(Import.TipoArredondamento&lt;&gt;"TransfereGOV",ROUND(OFFSET($P32,0,AF$13),15-13*ORÇAMENTO!$AF$7)/$H32*OFFSET(ORÇAMENTO!$X$15,ROW(AF32)-ROW(AF$15),0),ROUND(ROUND(OFFSET($P32,0,AF$13),15-13*ORÇAMENTO!$AF$7)*OFFSET(ORÇAMENTO!$W$15,ROW(AF32)-ROW(AF$15),0),15-13*ORÇAMENTO!$AF$11)),0)</f>
        <v>0</v>
      </c>
      <c r="AG32" s="627">
        <f ca="1">IF(AND($D32="Serviço",AG$12&lt;&gt;0,$H32&gt;0,OR(AUTOEVENTO&lt;&gt;"manual",$M32&lt;&gt;1)),IF(Import.TipoArredondamento&lt;&gt;"TransfereGOV",ROUND(OFFSET($P32,0,AG$13),15-13*ORÇAMENTO!$AF$7)/$H32*OFFSET(ORÇAMENTO!$X$15,ROW(AG32)-ROW(AG$15),0),ROUND(ROUND(OFFSET($P32,0,AG$13),15-13*ORÇAMENTO!$AF$7)*OFFSET(ORÇAMENTO!$W$15,ROW(AG32)-ROW(AG$15),0),15-13*ORÇAMENTO!$AF$11)),0)</f>
        <v>0</v>
      </c>
      <c r="AH32" s="627">
        <f ca="1">IF(AND($D32="Serviço",AH$12&lt;&gt;0,$H32&gt;0,OR(AUTOEVENTO&lt;&gt;"manual",$M32&lt;&gt;1)),IF(Import.TipoArredondamento&lt;&gt;"TransfereGOV",ROUND(OFFSET($P32,0,AH$13),15-13*ORÇAMENTO!$AF$7)/$H32*OFFSET(ORÇAMENTO!$X$15,ROW(AH32)-ROW(AH$15),0),ROUND(ROUND(OFFSET($P32,0,AH$13),15-13*ORÇAMENTO!$AF$7)*OFFSET(ORÇAMENTO!$W$15,ROW(AH32)-ROW(AH$15),0),15-13*ORÇAMENTO!$AF$11)),0)</f>
        <v>0</v>
      </c>
      <c r="AI32" s="627">
        <f ca="1">IF(AND($D32="Serviço",AI$12&lt;&gt;0,$H32&gt;0,OR(AUTOEVENTO&lt;&gt;"manual",$M32&lt;&gt;1)),IF(Import.TipoArredondamento&lt;&gt;"TransfereGOV",ROUND(OFFSET($P32,0,AI$13),15-13*ORÇAMENTO!$AF$7)/$H32*OFFSET(ORÇAMENTO!$X$15,ROW(AI32)-ROW(AI$15),0),ROUND(ROUND(OFFSET($P32,0,AI$13),15-13*ORÇAMENTO!$AF$7)*OFFSET(ORÇAMENTO!$W$15,ROW(AI32)-ROW(AI$15),0),15-13*ORÇAMENTO!$AF$11)),0)</f>
        <v>0</v>
      </c>
      <c r="AJ32" s="627">
        <f ca="1">IF(AND($D32="Serviço",AJ$12&lt;&gt;0,$H32&gt;0,OR(AUTOEVENTO&lt;&gt;"manual",$M32&lt;&gt;1)),IF(Import.TipoArredondamento&lt;&gt;"TransfereGOV",ROUND(OFFSET($P32,0,AJ$13),15-13*ORÇAMENTO!$AF$7)/$H32*OFFSET(ORÇAMENTO!$X$15,ROW(AJ32)-ROW(AJ$15),0),ROUND(ROUND(OFFSET($P32,0,AJ$13),15-13*ORÇAMENTO!$AF$7)*OFFSET(ORÇAMENTO!$W$15,ROW(AJ32)-ROW(AJ$15),0),15-13*ORÇAMENTO!$AF$11)),0)</f>
        <v>0</v>
      </c>
      <c r="AK32" s="628">
        <f ca="1">IF(AND($D32="Serviço",AK$12&lt;&gt;0,$H32&gt;0,OR(AUTOEVENTO&lt;&gt;"manual",$M32&lt;&gt;1)),IF(Import.TipoArredondamento&lt;&gt;"TransfereGOV",ROUND(OFFSET($P32,0,AK$13),15-13*ORÇAMENTO!$AF$7)/$H32*OFFSET(ORÇAMENTO!$X$15,ROW(AK32)-ROW(AK$15),0),ROUND(ROUND(OFFSET($P32,0,AK$13),15-13*ORÇAMENTO!$AF$7)*OFFSET(ORÇAMENTO!$W$15,ROW(AK32)-ROW(AK$15),0),15-13*ORÇAMENTO!$AF$11)),0)</f>
        <v>0</v>
      </c>
      <c r="AM32" s="211">
        <f ca="1">IF($D32&lt;&gt;"Serviço",0,IF(AND(AUTOEVENTO="Manual",$M32=1),0,IF(OFFSET(CRONOPLE!$F$14,$M32,AM$13)="",10^12,OFFSET(CRONOPLE!$F$14,$M32,AM$13))))</f>
        <v>1000000000000</v>
      </c>
      <c r="AN32" s="211">
        <f ca="1">IF($D32&lt;&gt;"Serviço",0,IF(AND(AUTOEVENTO="Manual",$M32=1),0,IF(OFFSET(CRONOPLE!$F$14,$M32,AN$13)="",10^12,OFFSET(CRONOPLE!$F$14,$M32,AN$13))))</f>
        <v>1000000000000</v>
      </c>
      <c r="AO32" s="211">
        <f ca="1">IF($D32&lt;&gt;"Serviço",0,IF(AND(AUTOEVENTO="Manual",$M32=1),0,IF(OFFSET(CRONOPLE!$F$14,$M32,AO$13)="",10^12,OFFSET(CRONOPLE!$F$14,$M32,AO$13))))</f>
        <v>1000000000000</v>
      </c>
      <c r="AP32" s="211">
        <f ca="1">IF($D32&lt;&gt;"Serviço",0,IF(AND(AUTOEVENTO="Manual",$M32=1),0,IF(OFFSET(CRONOPLE!$F$14,$M32,AP$13)="",10^12,OFFSET(CRONOPLE!$F$14,$M32,AP$13))))</f>
        <v>1000000000000</v>
      </c>
      <c r="AQ32" s="211">
        <f ca="1">IF($D32&lt;&gt;"Serviço",0,IF(AND(AUTOEVENTO="Manual",$M32=1),0,IF(OFFSET(CRONOPLE!$F$14,$M32,AQ$13)="",10^12,OFFSET(CRONOPLE!$F$14,$M32,AQ$13))))</f>
        <v>1000000000000</v>
      </c>
      <c r="AR32" s="211">
        <f ca="1">IF($D32&lt;&gt;"Serviço",0,IF(AND(AUTOEVENTO="Manual",$M32=1),0,IF(OFFSET(CRONOPLE!$F$14,$M32,AR$13)="",10^12,OFFSET(CRONOPLE!$F$14,$M32,AR$13))))</f>
        <v>1000000000000</v>
      </c>
      <c r="AS32" s="211">
        <f ca="1">IF($D32&lt;&gt;"Serviço",0,IF(AND(AUTOEVENTO="Manual",$M32=1),0,IF(OFFSET(CRONOPLE!$F$14,$M32,AS$13)="",10^12,OFFSET(CRONOPLE!$F$14,$M32,AS$13))))</f>
        <v>1000000000000</v>
      </c>
      <c r="AT32" s="211">
        <f ca="1">IF($D32&lt;&gt;"Serviço",0,IF(AND(AUTOEVENTO="Manual",$M32=1),0,IF(OFFSET(CRONOPLE!$F$14,$M32,AT$13)="",10^12,OFFSET(CRONOPLE!$F$14,$M32,AT$13))))</f>
        <v>1000000000000</v>
      </c>
      <c r="AU32" s="211">
        <f ca="1">IF($D32&lt;&gt;"Serviço",0,IF(AND(AUTOEVENTO="Manual",$M32=1),0,IF(OFFSET(CRONOPLE!$F$14,$M32,AU$13)="",10^12,OFFSET(CRONOPLE!$F$14,$M32,AU$13))))</f>
        <v>1000000000000</v>
      </c>
      <c r="AV32" s="211">
        <f ca="1">IF($D32&lt;&gt;"Serviço",0,IF(AND(AUTOEVENTO="Manual",$M32=1),0,IF(OFFSET(CRONOPLE!$F$14,$M32,AV$13)="",10^12,OFFSET(CRONOPLE!$F$14,$M32,AV$13))))</f>
        <v>1000000000000</v>
      </c>
      <c r="AX32" s="212">
        <f ca="1">IF($D32&lt;&gt;"Serviço",0,IF(OR(AND(AUTOEVENTO="Manual",$M32=1),$M32&gt;(ROW(PLE.lastrow)-ROW(PLE.firstrow))),0,IF(OFFSET(PLE!$G$14,$M32,AX$13)="",10^12,OFFSET(PLE!$G$14,$M32,AX$13))))</f>
        <v>1000000000000</v>
      </c>
      <c r="AY32" s="212">
        <f ca="1">IF($D32&lt;&gt;"Serviço",0,IF(OR(AND(AUTOEVENTO="Manual",$M32=1),$M32&gt;(ROW(PLE.lastrow)-ROW(PLE.firstrow))),0,IF(OFFSET(PLE!$G$14,$M32,AY$13)="",10^12,OFFSET(PLE!$G$14,$M32,AY$13))))</f>
        <v>1000000000000</v>
      </c>
      <c r="AZ32" s="212">
        <f ca="1">IF($D32&lt;&gt;"Serviço",0,IF(OR(AND(AUTOEVENTO="Manual",$M32=1),$M32&gt;(ROW(PLE.lastrow)-ROW(PLE.firstrow))),0,IF(OFFSET(PLE!$G$14,$M32,AZ$13)="",10^12,OFFSET(PLE!$G$14,$M32,AZ$13))))</f>
        <v>1000000000000</v>
      </c>
      <c r="BA32" s="212">
        <f ca="1">IF($D32&lt;&gt;"Serviço",0,IF(OR(AND(AUTOEVENTO="Manual",$M32=1),$M32&gt;(ROW(PLE.lastrow)-ROW(PLE.firstrow))),0,IF(OFFSET(PLE!$G$14,$M32,BA$13)="",10^12,OFFSET(PLE!$G$14,$M32,BA$13))))</f>
        <v>1000000000000</v>
      </c>
      <c r="BB32" s="212">
        <f ca="1">IF($D32&lt;&gt;"Serviço",0,IF(OR(AND(AUTOEVENTO="Manual",$M32=1),$M32&gt;(ROW(PLE.lastrow)-ROW(PLE.firstrow))),0,IF(OFFSET(PLE!$G$14,$M32,BB$13)="",10^12,OFFSET(PLE!$G$14,$M32,BB$13))))</f>
        <v>1000000000000</v>
      </c>
      <c r="BC32" s="212">
        <f ca="1">IF($D32&lt;&gt;"Serviço",0,IF(OR(AND(AUTOEVENTO="Manual",$M32=1),$M32&gt;(ROW(PLE.lastrow)-ROW(PLE.firstrow))),0,IF(OFFSET(PLE!$G$14,$M32,BC$13)="",10^12,OFFSET(PLE!$G$14,$M32,BC$13))))</f>
        <v>1000000000000</v>
      </c>
      <c r="BD32" s="212">
        <f ca="1">IF($D32&lt;&gt;"Serviço",0,IF(OR(AND(AUTOEVENTO="Manual",$M32=1),$M32&gt;(ROW(PLE.lastrow)-ROW(PLE.firstrow))),0,IF(OFFSET(PLE!$G$14,$M32,BD$13)="",10^12,OFFSET(PLE!$G$14,$M32,BD$13))))</f>
        <v>1000000000000</v>
      </c>
      <c r="BE32" s="212">
        <f ca="1">IF($D32&lt;&gt;"Serviço",0,IF(OR(AND(AUTOEVENTO="Manual",$M32=1),$M32&gt;(ROW(PLE.lastrow)-ROW(PLE.firstrow))),0,IF(OFFSET(PLE!$G$14,$M32,BE$13)="",10^12,OFFSET(PLE!$G$14,$M32,BE$13))))</f>
        <v>1000000000000</v>
      </c>
      <c r="BF32" s="212">
        <f ca="1">IF($D32&lt;&gt;"Serviço",0,IF(OR(AND(AUTOEVENTO="Manual",$M32=1),$M32&gt;(ROW(PLE.lastrow)-ROW(PLE.firstrow))),0,IF(OFFSET(PLE!$G$14,$M32,BF$13)="",10^12,OFFSET(PLE!$G$14,$M32,BF$13))))</f>
        <v>1000000000000</v>
      </c>
      <c r="BG32" s="212">
        <f ca="1">IF($D32&lt;&gt;"Serviço",0,IF(OR(AND(AUTOEVENTO="Manual",$M32=1),$M32&gt;(ROW(PLE.lastrow)-ROW(PLE.firstrow))),0,IF(OFFSET(PLE!$G$14,$M32,BG$13)="",10^12,OFFSET(PLE!$G$14,$M32,BG$13))))</f>
        <v>1000000000000</v>
      </c>
    </row>
    <row r="33" spans="1:59" ht="25.5">
      <c r="A33" s="9" t="str">
        <f ca="1">IF(AUTOEVENTO="Manual",IF(K33&lt;&gt;"",MIN(VALUE(LEFT(K33,FIND(".",K33)-1)),COUNTA(EVENTOS.Lista)),0),IF(OR($B33&gt;AUTOEVENTO,$B33="S",$B33=0),SUBSTITUTE(OFFSET($A33,-1,0),IF($D33="Serviço",".",""),""),ROW(A33)-ROW($A$15)&amp;"."))</f>
        <v>13</v>
      </c>
      <c r="B33" s="9" t="str">
        <f ca="1">OFFSET(ORÇAMENTO!C$15,ROW(B33)-ROW(B$15),0)</f>
        <v>S</v>
      </c>
      <c r="C33" s="9" t="str">
        <f ca="1">OFFSET(ORÇAMENTO!L$15,ROW(C33)-ROW(C$15),0)</f>
        <v/>
      </c>
      <c r="D33" s="141" t="str">
        <f ca="1">OFFSET(ORÇAMENTO!N$15,ROW(D33)-ROW(D$15),0)</f>
        <v>Serviço</v>
      </c>
      <c r="E33" s="201" t="str">
        <f ca="1">OFFSET(ORÇAMENTO!O$15,ROW(E33)-ROW(E$15),0)</f>
        <v>-</v>
      </c>
      <c r="F33" s="202" t="str">
        <f ca="1">OFFSET(ORÇAMENTO!R$15,ROW(F33)-ROW(F$15),0)</f>
        <v>(abra o arquivo 'Referência 07-2024.xlsm)</v>
      </c>
      <c r="G33" s="203" t="str">
        <f ca="1">IF($D33&lt;&gt;"Serviço","",OFFSET(ORÇAMENTO!S$15,ROW(G33)-ROW(G$15),0))</f>
        <v>-</v>
      </c>
      <c r="H33" s="147">
        <f ca="1">IF($D33&lt;&gt;"Serviço",0,IF(ACOMPANHAMENTO="BM",ROUND(OFFSET(ORÇAMENTO!AJ$15,ROW(H33)-ROW(H$15),0),15-13*ORÇAMENTO!$AF$7),SUMPRODUCT(($Q$12:$AA$12&lt;&gt;"")*ROUND($Q33:$AA33,15-13*ORÇAMENTO!$AF$7))))</f>
        <v>4316.5600000000004</v>
      </c>
      <c r="I33" s="645" t="s">
        <v>489</v>
      </c>
      <c r="K33" s="204"/>
      <c r="L33" s="205" t="s">
        <v>255</v>
      </c>
      <c r="M33" s="206">
        <f ca="1">IF($D33&lt;&gt;"Serviço","",IF(AUTOEVENTO="manual",$A33,IF(ISERROR(MATCH($A33,$A$15:OFFSET($A33,-1,0),0)),MAX($M$15:OFFSET(M33,-1,0))+1,INDEX($M$15:OFFSET(M33,-1,0),MATCH($A33,$A$15:OFFSET($A33,-1,0),0)))))</f>
        <v>5</v>
      </c>
      <c r="N33" s="207" t="str">
        <f ca="1">IF($D33&lt;&gt;"Serviço","",IF(AUTOEVENTO="Manual",IF($A33=0,"&lt;-- defina o número do agrupador",OFFSET(EVENTOS!$D$14,$A33,0)),OFFSET($F$15,$A33,0)))</f>
        <v>RECAPEAMENTO ASFÁLTICO</v>
      </c>
      <c r="O33" s="208"/>
      <c r="Q33" s="208"/>
      <c r="R33" s="209"/>
      <c r="S33" s="209"/>
      <c r="T33" s="209"/>
      <c r="U33" s="209"/>
      <c r="V33" s="209"/>
      <c r="W33" s="209"/>
      <c r="X33" s="209"/>
      <c r="Y33" s="209"/>
      <c r="Z33" s="210"/>
      <c r="AB33" s="626">
        <f ca="1">IF(AND($D33="Serviço",AB$12&lt;&gt;0,$H33&gt;0,OR(AUTOEVENTO&lt;&gt;"manual",$M33&lt;&gt;1)),IF(Import.TipoArredondamento&lt;&gt;"TransfereGOV",ROUND(OFFSET($P33,0,AB$13),15-13*ORÇAMENTO!$AF$7)/$H33*OFFSET(ORÇAMENTO!$X$15,ROW(AB33)-ROW(AB$15),0),ROUND(ROUND(OFFSET($P33,0,AB$13),15-13*ORÇAMENTO!$AF$7)*OFFSET(ORÇAMENTO!$W$15,ROW(AB33)-ROW(AB$15),0),15-13*ORÇAMENTO!$AF$11)),0)</f>
        <v>0</v>
      </c>
      <c r="AC33" s="627">
        <f ca="1">IF(AND($D33="Serviço",AC$12&lt;&gt;0,$H33&gt;0,OR(AUTOEVENTO&lt;&gt;"manual",$M33&lt;&gt;1)),IF(Import.TipoArredondamento&lt;&gt;"TransfereGOV",ROUND(OFFSET($P33,0,AC$13),15-13*ORÇAMENTO!$AF$7)/$H33*OFFSET(ORÇAMENTO!$X$15,ROW(AC33)-ROW(AC$15),0),ROUND(ROUND(OFFSET($P33,0,AC$13),15-13*ORÇAMENTO!$AF$7)*OFFSET(ORÇAMENTO!$W$15,ROW(AC33)-ROW(AC$15),0),15-13*ORÇAMENTO!$AF$11)),0)</f>
        <v>0</v>
      </c>
      <c r="AD33" s="627">
        <f ca="1">IF(AND($D33="Serviço",AD$12&lt;&gt;0,$H33&gt;0,OR(AUTOEVENTO&lt;&gt;"manual",$M33&lt;&gt;1)),IF(Import.TipoArredondamento&lt;&gt;"TransfereGOV",ROUND(OFFSET($P33,0,AD$13),15-13*ORÇAMENTO!$AF$7)/$H33*OFFSET(ORÇAMENTO!$X$15,ROW(AD33)-ROW(AD$15),0),ROUND(ROUND(OFFSET($P33,0,AD$13),15-13*ORÇAMENTO!$AF$7)*OFFSET(ORÇAMENTO!$W$15,ROW(AD33)-ROW(AD$15),0),15-13*ORÇAMENTO!$AF$11)),0)</f>
        <v>0</v>
      </c>
      <c r="AE33" s="627">
        <f ca="1">IF(AND($D33="Serviço",AE$12&lt;&gt;0,$H33&gt;0,OR(AUTOEVENTO&lt;&gt;"manual",$M33&lt;&gt;1)),IF(Import.TipoArredondamento&lt;&gt;"TransfereGOV",ROUND(OFFSET($P33,0,AE$13),15-13*ORÇAMENTO!$AF$7)/$H33*OFFSET(ORÇAMENTO!$X$15,ROW(AE33)-ROW(AE$15),0),ROUND(ROUND(OFFSET($P33,0,AE$13),15-13*ORÇAMENTO!$AF$7)*OFFSET(ORÇAMENTO!$W$15,ROW(AE33)-ROW(AE$15),0),15-13*ORÇAMENTO!$AF$11)),0)</f>
        <v>0</v>
      </c>
      <c r="AF33" s="627">
        <f ca="1">IF(AND($D33="Serviço",AF$12&lt;&gt;0,$H33&gt;0,OR(AUTOEVENTO&lt;&gt;"manual",$M33&lt;&gt;1)),IF(Import.TipoArredondamento&lt;&gt;"TransfereGOV",ROUND(OFFSET($P33,0,AF$13),15-13*ORÇAMENTO!$AF$7)/$H33*OFFSET(ORÇAMENTO!$X$15,ROW(AF33)-ROW(AF$15),0),ROUND(ROUND(OFFSET($P33,0,AF$13),15-13*ORÇAMENTO!$AF$7)*OFFSET(ORÇAMENTO!$W$15,ROW(AF33)-ROW(AF$15),0),15-13*ORÇAMENTO!$AF$11)),0)</f>
        <v>0</v>
      </c>
      <c r="AG33" s="627">
        <f ca="1">IF(AND($D33="Serviço",AG$12&lt;&gt;0,$H33&gt;0,OR(AUTOEVENTO&lt;&gt;"manual",$M33&lt;&gt;1)),IF(Import.TipoArredondamento&lt;&gt;"TransfereGOV",ROUND(OFFSET($P33,0,AG$13),15-13*ORÇAMENTO!$AF$7)/$H33*OFFSET(ORÇAMENTO!$X$15,ROW(AG33)-ROW(AG$15),0),ROUND(ROUND(OFFSET($P33,0,AG$13),15-13*ORÇAMENTO!$AF$7)*OFFSET(ORÇAMENTO!$W$15,ROW(AG33)-ROW(AG$15),0),15-13*ORÇAMENTO!$AF$11)),0)</f>
        <v>0</v>
      </c>
      <c r="AH33" s="627">
        <f ca="1">IF(AND($D33="Serviço",AH$12&lt;&gt;0,$H33&gt;0,OR(AUTOEVENTO&lt;&gt;"manual",$M33&lt;&gt;1)),IF(Import.TipoArredondamento&lt;&gt;"TransfereGOV",ROUND(OFFSET($P33,0,AH$13),15-13*ORÇAMENTO!$AF$7)/$H33*OFFSET(ORÇAMENTO!$X$15,ROW(AH33)-ROW(AH$15),0),ROUND(ROUND(OFFSET($P33,0,AH$13),15-13*ORÇAMENTO!$AF$7)*OFFSET(ORÇAMENTO!$W$15,ROW(AH33)-ROW(AH$15),0),15-13*ORÇAMENTO!$AF$11)),0)</f>
        <v>0</v>
      </c>
      <c r="AI33" s="627">
        <f ca="1">IF(AND($D33="Serviço",AI$12&lt;&gt;0,$H33&gt;0,OR(AUTOEVENTO&lt;&gt;"manual",$M33&lt;&gt;1)),IF(Import.TipoArredondamento&lt;&gt;"TransfereGOV",ROUND(OFFSET($P33,0,AI$13),15-13*ORÇAMENTO!$AF$7)/$H33*OFFSET(ORÇAMENTO!$X$15,ROW(AI33)-ROW(AI$15),0),ROUND(ROUND(OFFSET($P33,0,AI$13),15-13*ORÇAMENTO!$AF$7)*OFFSET(ORÇAMENTO!$W$15,ROW(AI33)-ROW(AI$15),0),15-13*ORÇAMENTO!$AF$11)),0)</f>
        <v>0</v>
      </c>
      <c r="AJ33" s="627">
        <f ca="1">IF(AND($D33="Serviço",AJ$12&lt;&gt;0,$H33&gt;0,OR(AUTOEVENTO&lt;&gt;"manual",$M33&lt;&gt;1)),IF(Import.TipoArredondamento&lt;&gt;"TransfereGOV",ROUND(OFFSET($P33,0,AJ$13),15-13*ORÇAMENTO!$AF$7)/$H33*OFFSET(ORÇAMENTO!$X$15,ROW(AJ33)-ROW(AJ$15),0),ROUND(ROUND(OFFSET($P33,0,AJ$13),15-13*ORÇAMENTO!$AF$7)*OFFSET(ORÇAMENTO!$W$15,ROW(AJ33)-ROW(AJ$15),0),15-13*ORÇAMENTO!$AF$11)),0)</f>
        <v>0</v>
      </c>
      <c r="AK33" s="628">
        <f ca="1">IF(AND($D33="Serviço",AK$12&lt;&gt;0,$H33&gt;0,OR(AUTOEVENTO&lt;&gt;"manual",$M33&lt;&gt;1)),IF(Import.TipoArredondamento&lt;&gt;"TransfereGOV",ROUND(OFFSET($P33,0,AK$13),15-13*ORÇAMENTO!$AF$7)/$H33*OFFSET(ORÇAMENTO!$X$15,ROW(AK33)-ROW(AK$15),0),ROUND(ROUND(OFFSET($P33,0,AK$13),15-13*ORÇAMENTO!$AF$7)*OFFSET(ORÇAMENTO!$W$15,ROW(AK33)-ROW(AK$15),0),15-13*ORÇAMENTO!$AF$11)),0)</f>
        <v>0</v>
      </c>
      <c r="AM33" s="211">
        <f ca="1">IF($D33&lt;&gt;"Serviço",0,IF(AND(AUTOEVENTO="Manual",$M33=1),0,IF(OFFSET(CRONOPLE!$F$14,$M33,AM$13)="",10^12,OFFSET(CRONOPLE!$F$14,$M33,AM$13))))</f>
        <v>1000000000000</v>
      </c>
      <c r="AN33" s="211">
        <f ca="1">IF($D33&lt;&gt;"Serviço",0,IF(AND(AUTOEVENTO="Manual",$M33=1),0,IF(OFFSET(CRONOPLE!$F$14,$M33,AN$13)="",10^12,OFFSET(CRONOPLE!$F$14,$M33,AN$13))))</f>
        <v>1000000000000</v>
      </c>
      <c r="AO33" s="211">
        <f ca="1">IF($D33&lt;&gt;"Serviço",0,IF(AND(AUTOEVENTO="Manual",$M33=1),0,IF(OFFSET(CRONOPLE!$F$14,$M33,AO$13)="",10^12,OFFSET(CRONOPLE!$F$14,$M33,AO$13))))</f>
        <v>1000000000000</v>
      </c>
      <c r="AP33" s="211">
        <f ca="1">IF($D33&lt;&gt;"Serviço",0,IF(AND(AUTOEVENTO="Manual",$M33=1),0,IF(OFFSET(CRONOPLE!$F$14,$M33,AP$13)="",10^12,OFFSET(CRONOPLE!$F$14,$M33,AP$13))))</f>
        <v>1000000000000</v>
      </c>
      <c r="AQ33" s="211">
        <f ca="1">IF($D33&lt;&gt;"Serviço",0,IF(AND(AUTOEVENTO="Manual",$M33=1),0,IF(OFFSET(CRONOPLE!$F$14,$M33,AQ$13)="",10^12,OFFSET(CRONOPLE!$F$14,$M33,AQ$13))))</f>
        <v>1000000000000</v>
      </c>
      <c r="AR33" s="211">
        <f ca="1">IF($D33&lt;&gt;"Serviço",0,IF(AND(AUTOEVENTO="Manual",$M33=1),0,IF(OFFSET(CRONOPLE!$F$14,$M33,AR$13)="",10^12,OFFSET(CRONOPLE!$F$14,$M33,AR$13))))</f>
        <v>1000000000000</v>
      </c>
      <c r="AS33" s="211">
        <f ca="1">IF($D33&lt;&gt;"Serviço",0,IF(AND(AUTOEVENTO="Manual",$M33=1),0,IF(OFFSET(CRONOPLE!$F$14,$M33,AS$13)="",10^12,OFFSET(CRONOPLE!$F$14,$M33,AS$13))))</f>
        <v>1000000000000</v>
      </c>
      <c r="AT33" s="211">
        <f ca="1">IF($D33&lt;&gt;"Serviço",0,IF(AND(AUTOEVENTO="Manual",$M33=1),0,IF(OFFSET(CRONOPLE!$F$14,$M33,AT$13)="",10^12,OFFSET(CRONOPLE!$F$14,$M33,AT$13))))</f>
        <v>1000000000000</v>
      </c>
      <c r="AU33" s="211">
        <f ca="1">IF($D33&lt;&gt;"Serviço",0,IF(AND(AUTOEVENTO="Manual",$M33=1),0,IF(OFFSET(CRONOPLE!$F$14,$M33,AU$13)="",10^12,OFFSET(CRONOPLE!$F$14,$M33,AU$13))))</f>
        <v>1000000000000</v>
      </c>
      <c r="AV33" s="211">
        <f ca="1">IF($D33&lt;&gt;"Serviço",0,IF(AND(AUTOEVENTO="Manual",$M33=1),0,IF(OFFSET(CRONOPLE!$F$14,$M33,AV$13)="",10^12,OFFSET(CRONOPLE!$F$14,$M33,AV$13))))</f>
        <v>1000000000000</v>
      </c>
      <c r="AX33" s="212">
        <f ca="1">IF($D33&lt;&gt;"Serviço",0,IF(OR(AND(AUTOEVENTO="Manual",$M33=1),$M33&gt;(ROW(PLE.lastrow)-ROW(PLE.firstrow))),0,IF(OFFSET(PLE!$G$14,$M33,AX$13)="",10^12,OFFSET(PLE!$G$14,$M33,AX$13))))</f>
        <v>1000000000000</v>
      </c>
      <c r="AY33" s="212">
        <f ca="1">IF($D33&lt;&gt;"Serviço",0,IF(OR(AND(AUTOEVENTO="Manual",$M33=1),$M33&gt;(ROW(PLE.lastrow)-ROW(PLE.firstrow))),0,IF(OFFSET(PLE!$G$14,$M33,AY$13)="",10^12,OFFSET(PLE!$G$14,$M33,AY$13))))</f>
        <v>1000000000000</v>
      </c>
      <c r="AZ33" s="212">
        <f ca="1">IF($D33&lt;&gt;"Serviço",0,IF(OR(AND(AUTOEVENTO="Manual",$M33=1),$M33&gt;(ROW(PLE.lastrow)-ROW(PLE.firstrow))),0,IF(OFFSET(PLE!$G$14,$M33,AZ$13)="",10^12,OFFSET(PLE!$G$14,$M33,AZ$13))))</f>
        <v>1000000000000</v>
      </c>
      <c r="BA33" s="212">
        <f ca="1">IF($D33&lt;&gt;"Serviço",0,IF(OR(AND(AUTOEVENTO="Manual",$M33=1),$M33&gt;(ROW(PLE.lastrow)-ROW(PLE.firstrow))),0,IF(OFFSET(PLE!$G$14,$M33,BA$13)="",10^12,OFFSET(PLE!$G$14,$M33,BA$13))))</f>
        <v>1000000000000</v>
      </c>
      <c r="BB33" s="212">
        <f ca="1">IF($D33&lt;&gt;"Serviço",0,IF(OR(AND(AUTOEVENTO="Manual",$M33=1),$M33&gt;(ROW(PLE.lastrow)-ROW(PLE.firstrow))),0,IF(OFFSET(PLE!$G$14,$M33,BB$13)="",10^12,OFFSET(PLE!$G$14,$M33,BB$13))))</f>
        <v>1000000000000</v>
      </c>
      <c r="BC33" s="212">
        <f ca="1">IF($D33&lt;&gt;"Serviço",0,IF(OR(AND(AUTOEVENTO="Manual",$M33=1),$M33&gt;(ROW(PLE.lastrow)-ROW(PLE.firstrow))),0,IF(OFFSET(PLE!$G$14,$M33,BC$13)="",10^12,OFFSET(PLE!$G$14,$M33,BC$13))))</f>
        <v>1000000000000</v>
      </c>
      <c r="BD33" s="212">
        <f ca="1">IF($D33&lt;&gt;"Serviço",0,IF(OR(AND(AUTOEVENTO="Manual",$M33=1),$M33&gt;(ROW(PLE.lastrow)-ROW(PLE.firstrow))),0,IF(OFFSET(PLE!$G$14,$M33,BD$13)="",10^12,OFFSET(PLE!$G$14,$M33,BD$13))))</f>
        <v>1000000000000</v>
      </c>
      <c r="BE33" s="212">
        <f ca="1">IF($D33&lt;&gt;"Serviço",0,IF(OR(AND(AUTOEVENTO="Manual",$M33=1),$M33&gt;(ROW(PLE.lastrow)-ROW(PLE.firstrow))),0,IF(OFFSET(PLE!$G$14,$M33,BE$13)="",10^12,OFFSET(PLE!$G$14,$M33,BE$13))))</f>
        <v>1000000000000</v>
      </c>
      <c r="BF33" s="212">
        <f ca="1">IF($D33&lt;&gt;"Serviço",0,IF(OR(AND(AUTOEVENTO="Manual",$M33=1),$M33&gt;(ROW(PLE.lastrow)-ROW(PLE.firstrow))),0,IF(OFFSET(PLE!$G$14,$M33,BF$13)="",10^12,OFFSET(PLE!$G$14,$M33,BF$13))))</f>
        <v>1000000000000</v>
      </c>
      <c r="BG33" s="212">
        <f ca="1">IF($D33&lt;&gt;"Serviço",0,IF(OR(AND(AUTOEVENTO="Manual",$M33=1),$M33&gt;(ROW(PLE.lastrow)-ROW(PLE.firstrow))),0,IF(OFFSET(PLE!$G$14,$M33,BG$13)="",10^12,OFFSET(PLE!$G$14,$M33,BG$13))))</f>
        <v>1000000000000</v>
      </c>
    </row>
    <row r="34" spans="1:59" ht="51">
      <c r="A34" s="9" t="str">
        <f ca="1">IF(AUTOEVENTO="Manual",IF(K34&lt;&gt;"",MIN(VALUE(LEFT(K34,FIND(".",K34)-1)),COUNTA(EVENTOS.Lista)),0),IF(OR($B34&gt;AUTOEVENTO,$B34="S",$B34=0),SUBSTITUTE(OFFSET($A34,-1,0),IF($D34="Serviço",".",""),""),ROW(A34)-ROW($A$15)&amp;"."))</f>
        <v>13</v>
      </c>
      <c r="B34" s="9" t="str">
        <f ca="1">OFFSET(ORÇAMENTO!C$15,ROW(B34)-ROW(B$15),0)</f>
        <v>S</v>
      </c>
      <c r="C34" s="9" t="str">
        <f ca="1">OFFSET(ORÇAMENTO!L$15,ROW(C34)-ROW(C$15),0)</f>
        <v/>
      </c>
      <c r="D34" s="141" t="str">
        <f ca="1">OFFSET(ORÇAMENTO!N$15,ROW(D34)-ROW(D$15),0)</f>
        <v>Serviço</v>
      </c>
      <c r="E34" s="201" t="str">
        <f ca="1">OFFSET(ORÇAMENTO!O$15,ROW(E34)-ROW(E$15),0)</f>
        <v>-</v>
      </c>
      <c r="F34" s="202" t="str">
        <f ca="1">OFFSET(ORÇAMENTO!R$15,ROW(F34)-ROW(F$15),0)</f>
        <v>(abra o arquivo 'Referência 07-2024.xlsm)</v>
      </c>
      <c r="G34" s="203" t="str">
        <f ca="1">IF($D34&lt;&gt;"Serviço","",OFFSET(ORÇAMENTO!S$15,ROW(G34)-ROW(G$15),0))</f>
        <v>-</v>
      </c>
      <c r="H34" s="147">
        <f ca="1">IF($D34&lt;&gt;"Serviço",0,IF(ACOMPANHAMENTO="BM",ROUND(OFFSET(ORÇAMENTO!AJ$15,ROW(H34)-ROW(H$15),0),15-13*ORÇAMENTO!$AF$7),SUMPRODUCT(($Q$12:$AA$12&lt;&gt;"")*ROUND($Q34:$AA34,15-13*ORÇAMENTO!$AF$7))))</f>
        <v>429.49</v>
      </c>
      <c r="I34" s="645" t="s">
        <v>490</v>
      </c>
      <c r="K34" s="204"/>
      <c r="L34" s="205" t="s">
        <v>255</v>
      </c>
      <c r="M34" s="206">
        <f ca="1">IF($D34&lt;&gt;"Serviço","",IF(AUTOEVENTO="manual",$A34,IF(ISERROR(MATCH($A34,$A$15:OFFSET($A34,-1,0),0)),MAX($M$15:OFFSET(M34,-1,0))+1,INDEX($M$15:OFFSET(M34,-1,0),MATCH($A34,$A$15:OFFSET($A34,-1,0),0)))))</f>
        <v>5</v>
      </c>
      <c r="N34" s="207" t="str">
        <f ca="1">IF($D34&lt;&gt;"Serviço","",IF(AUTOEVENTO="Manual",IF($A34=0,"&lt;-- defina o número do agrupador",OFFSET(EVENTOS!$D$14,$A34,0)),OFFSET($F$15,$A34,0)))</f>
        <v>RECAPEAMENTO ASFÁLTICO</v>
      </c>
      <c r="O34" s="208"/>
      <c r="Q34" s="208"/>
      <c r="R34" s="209"/>
      <c r="S34" s="209"/>
      <c r="T34" s="209"/>
      <c r="U34" s="209"/>
      <c r="V34" s="209"/>
      <c r="W34" s="209"/>
      <c r="X34" s="209"/>
      <c r="Y34" s="209"/>
      <c r="Z34" s="210"/>
      <c r="AB34" s="626">
        <f ca="1">IF(AND($D34="Serviço",AB$12&lt;&gt;0,$H34&gt;0,OR(AUTOEVENTO&lt;&gt;"manual",$M34&lt;&gt;1)),IF(Import.TipoArredondamento&lt;&gt;"TransfereGOV",ROUND(OFFSET($P34,0,AB$13),15-13*ORÇAMENTO!$AF$7)/$H34*OFFSET(ORÇAMENTO!$X$15,ROW(AB34)-ROW(AB$15),0),ROUND(ROUND(OFFSET($P34,0,AB$13),15-13*ORÇAMENTO!$AF$7)*OFFSET(ORÇAMENTO!$W$15,ROW(AB34)-ROW(AB$15),0),15-13*ORÇAMENTO!$AF$11)),0)</f>
        <v>0</v>
      </c>
      <c r="AC34" s="627">
        <f ca="1">IF(AND($D34="Serviço",AC$12&lt;&gt;0,$H34&gt;0,OR(AUTOEVENTO&lt;&gt;"manual",$M34&lt;&gt;1)),IF(Import.TipoArredondamento&lt;&gt;"TransfereGOV",ROUND(OFFSET($P34,0,AC$13),15-13*ORÇAMENTO!$AF$7)/$H34*OFFSET(ORÇAMENTO!$X$15,ROW(AC34)-ROW(AC$15),0),ROUND(ROUND(OFFSET($P34,0,AC$13),15-13*ORÇAMENTO!$AF$7)*OFFSET(ORÇAMENTO!$W$15,ROW(AC34)-ROW(AC$15),0),15-13*ORÇAMENTO!$AF$11)),0)</f>
        <v>0</v>
      </c>
      <c r="AD34" s="627">
        <f ca="1">IF(AND($D34="Serviço",AD$12&lt;&gt;0,$H34&gt;0,OR(AUTOEVENTO&lt;&gt;"manual",$M34&lt;&gt;1)),IF(Import.TipoArredondamento&lt;&gt;"TransfereGOV",ROUND(OFFSET($P34,0,AD$13),15-13*ORÇAMENTO!$AF$7)/$H34*OFFSET(ORÇAMENTO!$X$15,ROW(AD34)-ROW(AD$15),0),ROUND(ROUND(OFFSET($P34,0,AD$13),15-13*ORÇAMENTO!$AF$7)*OFFSET(ORÇAMENTO!$W$15,ROW(AD34)-ROW(AD$15),0),15-13*ORÇAMENTO!$AF$11)),0)</f>
        <v>0</v>
      </c>
      <c r="AE34" s="627">
        <f ca="1">IF(AND($D34="Serviço",AE$12&lt;&gt;0,$H34&gt;0,OR(AUTOEVENTO&lt;&gt;"manual",$M34&lt;&gt;1)),IF(Import.TipoArredondamento&lt;&gt;"TransfereGOV",ROUND(OFFSET($P34,0,AE$13),15-13*ORÇAMENTO!$AF$7)/$H34*OFFSET(ORÇAMENTO!$X$15,ROW(AE34)-ROW(AE$15),0),ROUND(ROUND(OFFSET($P34,0,AE$13),15-13*ORÇAMENTO!$AF$7)*OFFSET(ORÇAMENTO!$W$15,ROW(AE34)-ROW(AE$15),0),15-13*ORÇAMENTO!$AF$11)),0)</f>
        <v>0</v>
      </c>
      <c r="AF34" s="627">
        <f ca="1">IF(AND($D34="Serviço",AF$12&lt;&gt;0,$H34&gt;0,OR(AUTOEVENTO&lt;&gt;"manual",$M34&lt;&gt;1)),IF(Import.TipoArredondamento&lt;&gt;"TransfereGOV",ROUND(OFFSET($P34,0,AF$13),15-13*ORÇAMENTO!$AF$7)/$H34*OFFSET(ORÇAMENTO!$X$15,ROW(AF34)-ROW(AF$15),0),ROUND(ROUND(OFFSET($P34,0,AF$13),15-13*ORÇAMENTO!$AF$7)*OFFSET(ORÇAMENTO!$W$15,ROW(AF34)-ROW(AF$15),0),15-13*ORÇAMENTO!$AF$11)),0)</f>
        <v>0</v>
      </c>
      <c r="AG34" s="627">
        <f ca="1">IF(AND($D34="Serviço",AG$12&lt;&gt;0,$H34&gt;0,OR(AUTOEVENTO&lt;&gt;"manual",$M34&lt;&gt;1)),IF(Import.TipoArredondamento&lt;&gt;"TransfereGOV",ROUND(OFFSET($P34,0,AG$13),15-13*ORÇAMENTO!$AF$7)/$H34*OFFSET(ORÇAMENTO!$X$15,ROW(AG34)-ROW(AG$15),0),ROUND(ROUND(OFFSET($P34,0,AG$13),15-13*ORÇAMENTO!$AF$7)*OFFSET(ORÇAMENTO!$W$15,ROW(AG34)-ROW(AG$15),0),15-13*ORÇAMENTO!$AF$11)),0)</f>
        <v>0</v>
      </c>
      <c r="AH34" s="627">
        <f ca="1">IF(AND($D34="Serviço",AH$12&lt;&gt;0,$H34&gt;0,OR(AUTOEVENTO&lt;&gt;"manual",$M34&lt;&gt;1)),IF(Import.TipoArredondamento&lt;&gt;"TransfereGOV",ROUND(OFFSET($P34,0,AH$13),15-13*ORÇAMENTO!$AF$7)/$H34*OFFSET(ORÇAMENTO!$X$15,ROW(AH34)-ROW(AH$15),0),ROUND(ROUND(OFFSET($P34,0,AH$13),15-13*ORÇAMENTO!$AF$7)*OFFSET(ORÇAMENTO!$W$15,ROW(AH34)-ROW(AH$15),0),15-13*ORÇAMENTO!$AF$11)),0)</f>
        <v>0</v>
      </c>
      <c r="AI34" s="627">
        <f ca="1">IF(AND($D34="Serviço",AI$12&lt;&gt;0,$H34&gt;0,OR(AUTOEVENTO&lt;&gt;"manual",$M34&lt;&gt;1)),IF(Import.TipoArredondamento&lt;&gt;"TransfereGOV",ROUND(OFFSET($P34,0,AI$13),15-13*ORÇAMENTO!$AF$7)/$H34*OFFSET(ORÇAMENTO!$X$15,ROW(AI34)-ROW(AI$15),0),ROUND(ROUND(OFFSET($P34,0,AI$13),15-13*ORÇAMENTO!$AF$7)*OFFSET(ORÇAMENTO!$W$15,ROW(AI34)-ROW(AI$15),0),15-13*ORÇAMENTO!$AF$11)),0)</f>
        <v>0</v>
      </c>
      <c r="AJ34" s="627">
        <f ca="1">IF(AND($D34="Serviço",AJ$12&lt;&gt;0,$H34&gt;0,OR(AUTOEVENTO&lt;&gt;"manual",$M34&lt;&gt;1)),IF(Import.TipoArredondamento&lt;&gt;"TransfereGOV",ROUND(OFFSET($P34,0,AJ$13),15-13*ORÇAMENTO!$AF$7)/$H34*OFFSET(ORÇAMENTO!$X$15,ROW(AJ34)-ROW(AJ$15),0),ROUND(ROUND(OFFSET($P34,0,AJ$13),15-13*ORÇAMENTO!$AF$7)*OFFSET(ORÇAMENTO!$W$15,ROW(AJ34)-ROW(AJ$15),0),15-13*ORÇAMENTO!$AF$11)),0)</f>
        <v>0</v>
      </c>
      <c r="AK34" s="628">
        <f ca="1">IF(AND($D34="Serviço",AK$12&lt;&gt;0,$H34&gt;0,OR(AUTOEVENTO&lt;&gt;"manual",$M34&lt;&gt;1)),IF(Import.TipoArredondamento&lt;&gt;"TransfereGOV",ROUND(OFFSET($P34,0,AK$13),15-13*ORÇAMENTO!$AF$7)/$H34*OFFSET(ORÇAMENTO!$X$15,ROW(AK34)-ROW(AK$15),0),ROUND(ROUND(OFFSET($P34,0,AK$13),15-13*ORÇAMENTO!$AF$7)*OFFSET(ORÇAMENTO!$W$15,ROW(AK34)-ROW(AK$15),0),15-13*ORÇAMENTO!$AF$11)),0)</f>
        <v>0</v>
      </c>
      <c r="AM34" s="211">
        <f ca="1">IF($D34&lt;&gt;"Serviço",0,IF(AND(AUTOEVENTO="Manual",$M34=1),0,IF(OFFSET(CRONOPLE!$F$14,$M34,AM$13)="",10^12,OFFSET(CRONOPLE!$F$14,$M34,AM$13))))</f>
        <v>1000000000000</v>
      </c>
      <c r="AN34" s="211">
        <f ca="1">IF($D34&lt;&gt;"Serviço",0,IF(AND(AUTOEVENTO="Manual",$M34=1),0,IF(OFFSET(CRONOPLE!$F$14,$M34,AN$13)="",10^12,OFFSET(CRONOPLE!$F$14,$M34,AN$13))))</f>
        <v>1000000000000</v>
      </c>
      <c r="AO34" s="211">
        <f ca="1">IF($D34&lt;&gt;"Serviço",0,IF(AND(AUTOEVENTO="Manual",$M34=1),0,IF(OFFSET(CRONOPLE!$F$14,$M34,AO$13)="",10^12,OFFSET(CRONOPLE!$F$14,$M34,AO$13))))</f>
        <v>1000000000000</v>
      </c>
      <c r="AP34" s="211">
        <f ca="1">IF($D34&lt;&gt;"Serviço",0,IF(AND(AUTOEVENTO="Manual",$M34=1),0,IF(OFFSET(CRONOPLE!$F$14,$M34,AP$13)="",10^12,OFFSET(CRONOPLE!$F$14,$M34,AP$13))))</f>
        <v>1000000000000</v>
      </c>
      <c r="AQ34" s="211">
        <f ca="1">IF($D34&lt;&gt;"Serviço",0,IF(AND(AUTOEVENTO="Manual",$M34=1),0,IF(OFFSET(CRONOPLE!$F$14,$M34,AQ$13)="",10^12,OFFSET(CRONOPLE!$F$14,$M34,AQ$13))))</f>
        <v>1000000000000</v>
      </c>
      <c r="AR34" s="211">
        <f ca="1">IF($D34&lt;&gt;"Serviço",0,IF(AND(AUTOEVENTO="Manual",$M34=1),0,IF(OFFSET(CRONOPLE!$F$14,$M34,AR$13)="",10^12,OFFSET(CRONOPLE!$F$14,$M34,AR$13))))</f>
        <v>1000000000000</v>
      </c>
      <c r="AS34" s="211">
        <f ca="1">IF($D34&lt;&gt;"Serviço",0,IF(AND(AUTOEVENTO="Manual",$M34=1),0,IF(OFFSET(CRONOPLE!$F$14,$M34,AS$13)="",10^12,OFFSET(CRONOPLE!$F$14,$M34,AS$13))))</f>
        <v>1000000000000</v>
      </c>
      <c r="AT34" s="211">
        <f ca="1">IF($D34&lt;&gt;"Serviço",0,IF(AND(AUTOEVENTO="Manual",$M34=1),0,IF(OFFSET(CRONOPLE!$F$14,$M34,AT$13)="",10^12,OFFSET(CRONOPLE!$F$14,$M34,AT$13))))</f>
        <v>1000000000000</v>
      </c>
      <c r="AU34" s="211">
        <f ca="1">IF($D34&lt;&gt;"Serviço",0,IF(AND(AUTOEVENTO="Manual",$M34=1),0,IF(OFFSET(CRONOPLE!$F$14,$M34,AU$13)="",10^12,OFFSET(CRONOPLE!$F$14,$M34,AU$13))))</f>
        <v>1000000000000</v>
      </c>
      <c r="AV34" s="211">
        <f ca="1">IF($D34&lt;&gt;"Serviço",0,IF(AND(AUTOEVENTO="Manual",$M34=1),0,IF(OFFSET(CRONOPLE!$F$14,$M34,AV$13)="",10^12,OFFSET(CRONOPLE!$F$14,$M34,AV$13))))</f>
        <v>1000000000000</v>
      </c>
      <c r="AX34" s="212">
        <f ca="1">IF($D34&lt;&gt;"Serviço",0,IF(OR(AND(AUTOEVENTO="Manual",$M34=1),$M34&gt;(ROW(PLE.lastrow)-ROW(PLE.firstrow))),0,IF(OFFSET(PLE!$G$14,$M34,AX$13)="",10^12,OFFSET(PLE!$G$14,$M34,AX$13))))</f>
        <v>1000000000000</v>
      </c>
      <c r="AY34" s="212">
        <f ca="1">IF($D34&lt;&gt;"Serviço",0,IF(OR(AND(AUTOEVENTO="Manual",$M34=1),$M34&gt;(ROW(PLE.lastrow)-ROW(PLE.firstrow))),0,IF(OFFSET(PLE!$G$14,$M34,AY$13)="",10^12,OFFSET(PLE!$G$14,$M34,AY$13))))</f>
        <v>1000000000000</v>
      </c>
      <c r="AZ34" s="212">
        <f ca="1">IF($D34&lt;&gt;"Serviço",0,IF(OR(AND(AUTOEVENTO="Manual",$M34=1),$M34&gt;(ROW(PLE.lastrow)-ROW(PLE.firstrow))),0,IF(OFFSET(PLE!$G$14,$M34,AZ$13)="",10^12,OFFSET(PLE!$G$14,$M34,AZ$13))))</f>
        <v>1000000000000</v>
      </c>
      <c r="BA34" s="212">
        <f ca="1">IF($D34&lt;&gt;"Serviço",0,IF(OR(AND(AUTOEVENTO="Manual",$M34=1),$M34&gt;(ROW(PLE.lastrow)-ROW(PLE.firstrow))),0,IF(OFFSET(PLE!$G$14,$M34,BA$13)="",10^12,OFFSET(PLE!$G$14,$M34,BA$13))))</f>
        <v>1000000000000</v>
      </c>
      <c r="BB34" s="212">
        <f ca="1">IF($D34&lt;&gt;"Serviço",0,IF(OR(AND(AUTOEVENTO="Manual",$M34=1),$M34&gt;(ROW(PLE.lastrow)-ROW(PLE.firstrow))),0,IF(OFFSET(PLE!$G$14,$M34,BB$13)="",10^12,OFFSET(PLE!$G$14,$M34,BB$13))))</f>
        <v>1000000000000</v>
      </c>
      <c r="BC34" s="212">
        <f ca="1">IF($D34&lt;&gt;"Serviço",0,IF(OR(AND(AUTOEVENTO="Manual",$M34=1),$M34&gt;(ROW(PLE.lastrow)-ROW(PLE.firstrow))),0,IF(OFFSET(PLE!$G$14,$M34,BC$13)="",10^12,OFFSET(PLE!$G$14,$M34,BC$13))))</f>
        <v>1000000000000</v>
      </c>
      <c r="BD34" s="212">
        <f ca="1">IF($D34&lt;&gt;"Serviço",0,IF(OR(AND(AUTOEVENTO="Manual",$M34=1),$M34&gt;(ROW(PLE.lastrow)-ROW(PLE.firstrow))),0,IF(OFFSET(PLE!$G$14,$M34,BD$13)="",10^12,OFFSET(PLE!$G$14,$M34,BD$13))))</f>
        <v>1000000000000</v>
      </c>
      <c r="BE34" s="212">
        <f ca="1">IF($D34&lt;&gt;"Serviço",0,IF(OR(AND(AUTOEVENTO="Manual",$M34=1),$M34&gt;(ROW(PLE.lastrow)-ROW(PLE.firstrow))),0,IF(OFFSET(PLE!$G$14,$M34,BE$13)="",10^12,OFFSET(PLE!$G$14,$M34,BE$13))))</f>
        <v>1000000000000</v>
      </c>
      <c r="BF34" s="212">
        <f ca="1">IF($D34&lt;&gt;"Serviço",0,IF(OR(AND(AUTOEVENTO="Manual",$M34=1),$M34&gt;(ROW(PLE.lastrow)-ROW(PLE.firstrow))),0,IF(OFFSET(PLE!$G$14,$M34,BF$13)="",10^12,OFFSET(PLE!$G$14,$M34,BF$13))))</f>
        <v>1000000000000</v>
      </c>
      <c r="BG34" s="212">
        <f ca="1">IF($D34&lt;&gt;"Serviço",0,IF(OR(AND(AUTOEVENTO="Manual",$M34=1),$M34&gt;(ROW(PLE.lastrow)-ROW(PLE.firstrow))),0,IF(OFFSET(PLE!$G$14,$M34,BG$13)="",10^12,OFFSET(PLE!$G$14,$M34,BG$13))))</f>
        <v>1000000000000</v>
      </c>
    </row>
    <row r="35" spans="1:59" ht="51">
      <c r="A35" s="9" t="str">
        <f t="shared" ca="1" si="8"/>
        <v>13</v>
      </c>
      <c r="B35" s="9" t="str">
        <f ca="1">OFFSET(ORÇAMENTO!C$15,ROW(B35)-ROW(B$15),0)</f>
        <v>S</v>
      </c>
      <c r="C35" s="9" t="str">
        <f ca="1">OFFSET(ORÇAMENTO!L$15,ROW(C35)-ROW(C$15),0)</f>
        <v/>
      </c>
      <c r="D35" s="141" t="str">
        <f ca="1">OFFSET(ORÇAMENTO!N$15,ROW(D35)-ROW(D$15),0)</f>
        <v>Serviço</v>
      </c>
      <c r="E35" s="201" t="str">
        <f ca="1">OFFSET(ORÇAMENTO!O$15,ROW(E35)-ROW(E$15),0)</f>
        <v>-</v>
      </c>
      <c r="F35" s="202" t="str">
        <f ca="1">OFFSET(ORÇAMENTO!R$15,ROW(F35)-ROW(F$15),0)</f>
        <v>(abra o arquivo 'Referência 07-2024.xlsm)</v>
      </c>
      <c r="G35" s="203" t="str">
        <f ca="1">IF($D35&lt;&gt;"Serviço","",OFFSET(ORÇAMENTO!S$15,ROW(G35)-ROW(G$15),0))</f>
        <v>-</v>
      </c>
      <c r="H35" s="147">
        <f ca="1">IF($D35&lt;&gt;"Serviço",0,IF(ACOMPANHAMENTO="BM",ROUND(OFFSET(ORÇAMENTO!AJ$15,ROW(H35)-ROW(H$15),0),15-13*ORÇAMENTO!$AF$7),SUMPRODUCT(($Q$12:$AA$12&lt;&gt;"")*ROUND($Q35:$AA35,15-13*ORÇAMENTO!$AF$7))))</f>
        <v>129.5</v>
      </c>
      <c r="I35" s="645" t="s">
        <v>488</v>
      </c>
      <c r="K35" s="204"/>
      <c r="L35" s="205" t="s">
        <v>255</v>
      </c>
      <c r="M35" s="206">
        <f ca="1">IF($D35&lt;&gt;"Serviço","",IF(AUTOEVENTO="manual",$A35,IF(ISERROR(MATCH($A35,$A$15:OFFSET($A35,-1,0),0)),MAX($M$15:OFFSET(M35,-1,0))+1,INDEX($M$15:OFFSET(M35,-1,0),MATCH($A35,$A$15:OFFSET($A35,-1,0),0)))))</f>
        <v>5</v>
      </c>
      <c r="N35" s="207" t="str">
        <f ca="1">IF($D35&lt;&gt;"Serviço","",IF(AUTOEVENTO="Manual",IF($A35=0,"&lt;-- defina o número do agrupador",OFFSET(EVENTOS!$D$14,$A35,0)),OFFSET($F$15,$A35,0)))</f>
        <v>RECAPEAMENTO ASFÁLTICO</v>
      </c>
      <c r="O35" s="208"/>
      <c r="Q35" s="208"/>
      <c r="R35" s="209"/>
      <c r="S35" s="209"/>
      <c r="T35" s="209"/>
      <c r="U35" s="209"/>
      <c r="V35" s="209"/>
      <c r="W35" s="209"/>
      <c r="X35" s="209"/>
      <c r="Y35" s="209"/>
      <c r="Z35" s="210"/>
      <c r="AB35" s="626">
        <f ca="1">IF(AND($D35="Serviço",AB$12&lt;&gt;0,$H35&gt;0,OR(AUTOEVENTO&lt;&gt;"manual",$M35&lt;&gt;1)),IF(Import.TipoArredondamento&lt;&gt;"TransfereGOV",ROUND(OFFSET($P35,0,AB$13),15-13*ORÇAMENTO!$AF$7)/$H35*OFFSET(ORÇAMENTO!$X$15,ROW(AB35)-ROW(AB$15),0),ROUND(ROUND(OFFSET($P35,0,AB$13),15-13*ORÇAMENTO!$AF$7)*OFFSET(ORÇAMENTO!$W$15,ROW(AB35)-ROW(AB$15),0),15-13*ORÇAMENTO!$AF$11)),0)</f>
        <v>0</v>
      </c>
      <c r="AC35" s="627">
        <f ca="1">IF(AND($D35="Serviço",AC$12&lt;&gt;0,$H35&gt;0,OR(AUTOEVENTO&lt;&gt;"manual",$M35&lt;&gt;1)),IF(Import.TipoArredondamento&lt;&gt;"TransfereGOV",ROUND(OFFSET($P35,0,AC$13),15-13*ORÇAMENTO!$AF$7)/$H35*OFFSET(ORÇAMENTO!$X$15,ROW(AC35)-ROW(AC$15),0),ROUND(ROUND(OFFSET($P35,0,AC$13),15-13*ORÇAMENTO!$AF$7)*OFFSET(ORÇAMENTO!$W$15,ROW(AC35)-ROW(AC$15),0),15-13*ORÇAMENTO!$AF$11)),0)</f>
        <v>0</v>
      </c>
      <c r="AD35" s="627">
        <f ca="1">IF(AND($D35="Serviço",AD$12&lt;&gt;0,$H35&gt;0,OR(AUTOEVENTO&lt;&gt;"manual",$M35&lt;&gt;1)),IF(Import.TipoArredondamento&lt;&gt;"TransfereGOV",ROUND(OFFSET($P35,0,AD$13),15-13*ORÇAMENTO!$AF$7)/$H35*OFFSET(ORÇAMENTO!$X$15,ROW(AD35)-ROW(AD$15),0),ROUND(ROUND(OFFSET($P35,0,AD$13),15-13*ORÇAMENTO!$AF$7)*OFFSET(ORÇAMENTO!$W$15,ROW(AD35)-ROW(AD$15),0),15-13*ORÇAMENTO!$AF$11)),0)</f>
        <v>0</v>
      </c>
      <c r="AE35" s="627">
        <f ca="1">IF(AND($D35="Serviço",AE$12&lt;&gt;0,$H35&gt;0,OR(AUTOEVENTO&lt;&gt;"manual",$M35&lt;&gt;1)),IF(Import.TipoArredondamento&lt;&gt;"TransfereGOV",ROUND(OFFSET($P35,0,AE$13),15-13*ORÇAMENTO!$AF$7)/$H35*OFFSET(ORÇAMENTO!$X$15,ROW(AE35)-ROW(AE$15),0),ROUND(ROUND(OFFSET($P35,0,AE$13),15-13*ORÇAMENTO!$AF$7)*OFFSET(ORÇAMENTO!$W$15,ROW(AE35)-ROW(AE$15),0),15-13*ORÇAMENTO!$AF$11)),0)</f>
        <v>0</v>
      </c>
      <c r="AF35" s="627">
        <f ca="1">IF(AND($D35="Serviço",AF$12&lt;&gt;0,$H35&gt;0,OR(AUTOEVENTO&lt;&gt;"manual",$M35&lt;&gt;1)),IF(Import.TipoArredondamento&lt;&gt;"TransfereGOV",ROUND(OFFSET($P35,0,AF$13),15-13*ORÇAMENTO!$AF$7)/$H35*OFFSET(ORÇAMENTO!$X$15,ROW(AF35)-ROW(AF$15),0),ROUND(ROUND(OFFSET($P35,0,AF$13),15-13*ORÇAMENTO!$AF$7)*OFFSET(ORÇAMENTO!$W$15,ROW(AF35)-ROW(AF$15),0),15-13*ORÇAMENTO!$AF$11)),0)</f>
        <v>0</v>
      </c>
      <c r="AG35" s="627">
        <f ca="1">IF(AND($D35="Serviço",AG$12&lt;&gt;0,$H35&gt;0,OR(AUTOEVENTO&lt;&gt;"manual",$M35&lt;&gt;1)),IF(Import.TipoArredondamento&lt;&gt;"TransfereGOV",ROUND(OFFSET($P35,0,AG$13),15-13*ORÇAMENTO!$AF$7)/$H35*OFFSET(ORÇAMENTO!$X$15,ROW(AG35)-ROW(AG$15),0),ROUND(ROUND(OFFSET($P35,0,AG$13),15-13*ORÇAMENTO!$AF$7)*OFFSET(ORÇAMENTO!$W$15,ROW(AG35)-ROW(AG$15),0),15-13*ORÇAMENTO!$AF$11)),0)</f>
        <v>0</v>
      </c>
      <c r="AH35" s="627">
        <f ca="1">IF(AND($D35="Serviço",AH$12&lt;&gt;0,$H35&gt;0,OR(AUTOEVENTO&lt;&gt;"manual",$M35&lt;&gt;1)),IF(Import.TipoArredondamento&lt;&gt;"TransfereGOV",ROUND(OFFSET($P35,0,AH$13),15-13*ORÇAMENTO!$AF$7)/$H35*OFFSET(ORÇAMENTO!$X$15,ROW(AH35)-ROW(AH$15),0),ROUND(ROUND(OFFSET($P35,0,AH$13),15-13*ORÇAMENTO!$AF$7)*OFFSET(ORÇAMENTO!$W$15,ROW(AH35)-ROW(AH$15),0),15-13*ORÇAMENTO!$AF$11)),0)</f>
        <v>0</v>
      </c>
      <c r="AI35" s="627">
        <f ca="1">IF(AND($D35="Serviço",AI$12&lt;&gt;0,$H35&gt;0,OR(AUTOEVENTO&lt;&gt;"manual",$M35&lt;&gt;1)),IF(Import.TipoArredondamento&lt;&gt;"TransfereGOV",ROUND(OFFSET($P35,0,AI$13),15-13*ORÇAMENTO!$AF$7)/$H35*OFFSET(ORÇAMENTO!$X$15,ROW(AI35)-ROW(AI$15),0),ROUND(ROUND(OFFSET($P35,0,AI$13),15-13*ORÇAMENTO!$AF$7)*OFFSET(ORÇAMENTO!$W$15,ROW(AI35)-ROW(AI$15),0),15-13*ORÇAMENTO!$AF$11)),0)</f>
        <v>0</v>
      </c>
      <c r="AJ35" s="627">
        <f ca="1">IF(AND($D35="Serviço",AJ$12&lt;&gt;0,$H35&gt;0,OR(AUTOEVENTO&lt;&gt;"manual",$M35&lt;&gt;1)),IF(Import.TipoArredondamento&lt;&gt;"TransfereGOV",ROUND(OFFSET($P35,0,AJ$13),15-13*ORÇAMENTO!$AF$7)/$H35*OFFSET(ORÇAMENTO!$X$15,ROW(AJ35)-ROW(AJ$15),0),ROUND(ROUND(OFFSET($P35,0,AJ$13),15-13*ORÇAMENTO!$AF$7)*OFFSET(ORÇAMENTO!$W$15,ROW(AJ35)-ROW(AJ$15),0),15-13*ORÇAMENTO!$AF$11)),0)</f>
        <v>0</v>
      </c>
      <c r="AK35" s="628">
        <f ca="1">IF(AND($D35="Serviço",AK$12&lt;&gt;0,$H35&gt;0,OR(AUTOEVENTO&lt;&gt;"manual",$M35&lt;&gt;1)),IF(Import.TipoArredondamento&lt;&gt;"TransfereGOV",ROUND(OFFSET($P35,0,AK$13),15-13*ORÇAMENTO!$AF$7)/$H35*OFFSET(ORÇAMENTO!$X$15,ROW(AK35)-ROW(AK$15),0),ROUND(ROUND(OFFSET($P35,0,AK$13),15-13*ORÇAMENTO!$AF$7)*OFFSET(ORÇAMENTO!$W$15,ROW(AK35)-ROW(AK$15),0),15-13*ORÇAMENTO!$AF$11)),0)</f>
        <v>0</v>
      </c>
      <c r="AM35" s="211">
        <f ca="1">IF($D35&lt;&gt;"Serviço",0,IF(AND(AUTOEVENTO="Manual",$M35=1),0,IF(OFFSET(CRONOPLE!$F$14,$M35,AM$13)="",10^12,OFFSET(CRONOPLE!$F$14,$M35,AM$13))))</f>
        <v>1000000000000</v>
      </c>
      <c r="AN35" s="211">
        <f ca="1">IF($D35&lt;&gt;"Serviço",0,IF(AND(AUTOEVENTO="Manual",$M35=1),0,IF(OFFSET(CRONOPLE!$F$14,$M35,AN$13)="",10^12,OFFSET(CRONOPLE!$F$14,$M35,AN$13))))</f>
        <v>1000000000000</v>
      </c>
      <c r="AO35" s="211">
        <f ca="1">IF($D35&lt;&gt;"Serviço",0,IF(AND(AUTOEVENTO="Manual",$M35=1),0,IF(OFFSET(CRONOPLE!$F$14,$M35,AO$13)="",10^12,OFFSET(CRONOPLE!$F$14,$M35,AO$13))))</f>
        <v>1000000000000</v>
      </c>
      <c r="AP35" s="211">
        <f ca="1">IF($D35&lt;&gt;"Serviço",0,IF(AND(AUTOEVENTO="Manual",$M35=1),0,IF(OFFSET(CRONOPLE!$F$14,$M35,AP$13)="",10^12,OFFSET(CRONOPLE!$F$14,$M35,AP$13))))</f>
        <v>1000000000000</v>
      </c>
      <c r="AQ35" s="211">
        <f ca="1">IF($D35&lt;&gt;"Serviço",0,IF(AND(AUTOEVENTO="Manual",$M35=1),0,IF(OFFSET(CRONOPLE!$F$14,$M35,AQ$13)="",10^12,OFFSET(CRONOPLE!$F$14,$M35,AQ$13))))</f>
        <v>1000000000000</v>
      </c>
      <c r="AR35" s="211">
        <f ca="1">IF($D35&lt;&gt;"Serviço",0,IF(AND(AUTOEVENTO="Manual",$M35=1),0,IF(OFFSET(CRONOPLE!$F$14,$M35,AR$13)="",10^12,OFFSET(CRONOPLE!$F$14,$M35,AR$13))))</f>
        <v>1000000000000</v>
      </c>
      <c r="AS35" s="211">
        <f ca="1">IF($D35&lt;&gt;"Serviço",0,IF(AND(AUTOEVENTO="Manual",$M35=1),0,IF(OFFSET(CRONOPLE!$F$14,$M35,AS$13)="",10^12,OFFSET(CRONOPLE!$F$14,$M35,AS$13))))</f>
        <v>1000000000000</v>
      </c>
      <c r="AT35" s="211">
        <f ca="1">IF($D35&lt;&gt;"Serviço",0,IF(AND(AUTOEVENTO="Manual",$M35=1),0,IF(OFFSET(CRONOPLE!$F$14,$M35,AT$13)="",10^12,OFFSET(CRONOPLE!$F$14,$M35,AT$13))))</f>
        <v>1000000000000</v>
      </c>
      <c r="AU35" s="211">
        <f ca="1">IF($D35&lt;&gt;"Serviço",0,IF(AND(AUTOEVENTO="Manual",$M35=1),0,IF(OFFSET(CRONOPLE!$F$14,$M35,AU$13)="",10^12,OFFSET(CRONOPLE!$F$14,$M35,AU$13))))</f>
        <v>1000000000000</v>
      </c>
      <c r="AV35" s="211">
        <f ca="1">IF($D35&lt;&gt;"Serviço",0,IF(AND(AUTOEVENTO="Manual",$M35=1),0,IF(OFFSET(CRONOPLE!$F$14,$M35,AV$13)="",10^12,OFFSET(CRONOPLE!$F$14,$M35,AV$13))))</f>
        <v>1000000000000</v>
      </c>
      <c r="AX35" s="212">
        <f ca="1">IF($D35&lt;&gt;"Serviço",0,IF(OR(AND(AUTOEVENTO="Manual",$M35=1),$M35&gt;(ROW(PLE.lastrow)-ROW(PLE.firstrow))),0,IF(OFFSET(PLE!$G$14,$M35,AX$13)="",10^12,OFFSET(PLE!$G$14,$M35,AX$13))))</f>
        <v>1000000000000</v>
      </c>
      <c r="AY35" s="212">
        <f ca="1">IF($D35&lt;&gt;"Serviço",0,IF(OR(AND(AUTOEVENTO="Manual",$M35=1),$M35&gt;(ROW(PLE.lastrow)-ROW(PLE.firstrow))),0,IF(OFFSET(PLE!$G$14,$M35,AY$13)="",10^12,OFFSET(PLE!$G$14,$M35,AY$13))))</f>
        <v>1000000000000</v>
      </c>
      <c r="AZ35" s="212">
        <f ca="1">IF($D35&lt;&gt;"Serviço",0,IF(OR(AND(AUTOEVENTO="Manual",$M35=1),$M35&gt;(ROW(PLE.lastrow)-ROW(PLE.firstrow))),0,IF(OFFSET(PLE!$G$14,$M35,AZ$13)="",10^12,OFFSET(PLE!$G$14,$M35,AZ$13))))</f>
        <v>1000000000000</v>
      </c>
      <c r="BA35" s="212">
        <f ca="1">IF($D35&lt;&gt;"Serviço",0,IF(OR(AND(AUTOEVENTO="Manual",$M35=1),$M35&gt;(ROW(PLE.lastrow)-ROW(PLE.firstrow))),0,IF(OFFSET(PLE!$G$14,$M35,BA$13)="",10^12,OFFSET(PLE!$G$14,$M35,BA$13))))</f>
        <v>1000000000000</v>
      </c>
      <c r="BB35" s="212">
        <f ca="1">IF($D35&lt;&gt;"Serviço",0,IF(OR(AND(AUTOEVENTO="Manual",$M35=1),$M35&gt;(ROW(PLE.lastrow)-ROW(PLE.firstrow))),0,IF(OFFSET(PLE!$G$14,$M35,BB$13)="",10^12,OFFSET(PLE!$G$14,$M35,BB$13))))</f>
        <v>1000000000000</v>
      </c>
      <c r="BC35" s="212">
        <f ca="1">IF($D35&lt;&gt;"Serviço",0,IF(OR(AND(AUTOEVENTO="Manual",$M35=1),$M35&gt;(ROW(PLE.lastrow)-ROW(PLE.firstrow))),0,IF(OFFSET(PLE!$G$14,$M35,BC$13)="",10^12,OFFSET(PLE!$G$14,$M35,BC$13))))</f>
        <v>1000000000000</v>
      </c>
      <c r="BD35" s="212">
        <f ca="1">IF($D35&lt;&gt;"Serviço",0,IF(OR(AND(AUTOEVENTO="Manual",$M35=1),$M35&gt;(ROW(PLE.lastrow)-ROW(PLE.firstrow))),0,IF(OFFSET(PLE!$G$14,$M35,BD$13)="",10^12,OFFSET(PLE!$G$14,$M35,BD$13))))</f>
        <v>1000000000000</v>
      </c>
      <c r="BE35" s="212">
        <f ca="1">IF($D35&lt;&gt;"Serviço",0,IF(OR(AND(AUTOEVENTO="Manual",$M35=1),$M35&gt;(ROW(PLE.lastrow)-ROW(PLE.firstrow))),0,IF(OFFSET(PLE!$G$14,$M35,BE$13)="",10^12,OFFSET(PLE!$G$14,$M35,BE$13))))</f>
        <v>1000000000000</v>
      </c>
      <c r="BF35" s="212">
        <f ca="1">IF($D35&lt;&gt;"Serviço",0,IF(OR(AND(AUTOEVENTO="Manual",$M35=1),$M35&gt;(ROW(PLE.lastrow)-ROW(PLE.firstrow))),0,IF(OFFSET(PLE!$G$14,$M35,BF$13)="",10^12,OFFSET(PLE!$G$14,$M35,BF$13))))</f>
        <v>1000000000000</v>
      </c>
      <c r="BG35" s="212">
        <f ca="1">IF($D35&lt;&gt;"Serviço",0,IF(OR(AND(AUTOEVENTO="Manual",$M35=1),$M35&gt;(ROW(PLE.lastrow)-ROW(PLE.firstrow))),0,IF(OFFSET(PLE!$G$14,$M35,BG$13)="",10^12,OFFSET(PLE!$G$14,$M35,BG$13))))</f>
        <v>1000000000000</v>
      </c>
    </row>
    <row r="36" spans="1:59" ht="38.25">
      <c r="A36" s="9" t="str">
        <f t="shared" ca="1" si="8"/>
        <v>13</v>
      </c>
      <c r="B36" s="9" t="str">
        <f ca="1">OFFSET(ORÇAMENTO!C$15,ROW(B36)-ROW(B$15),0)</f>
        <v>S</v>
      </c>
      <c r="C36" s="9" t="str">
        <f ca="1">OFFSET(ORÇAMENTO!L$15,ROW(C36)-ROW(C$15),0)</f>
        <v/>
      </c>
      <c r="D36" s="141" t="str">
        <f ca="1">OFFSET(ORÇAMENTO!N$15,ROW(D36)-ROW(D$15),0)</f>
        <v>Serviço</v>
      </c>
      <c r="E36" s="201" t="str">
        <f ca="1">OFFSET(ORÇAMENTO!O$15,ROW(E36)-ROW(E$15),0)</f>
        <v>-</v>
      </c>
      <c r="F36" s="202" t="str">
        <f ca="1">OFFSET(ORÇAMENTO!R$15,ROW(F36)-ROW(F$15),0)</f>
        <v>(abra o arquivo 'Referência 07-2024.xlsm)</v>
      </c>
      <c r="G36" s="203" t="str">
        <f ca="1">IF($D36&lt;&gt;"Serviço","",OFFSET(ORÇAMENTO!S$15,ROW(G36)-ROW(G$15),0))</f>
        <v>-</v>
      </c>
      <c r="H36" s="147">
        <f ca="1">IF($D36&lt;&gt;"Serviço",0,IF(ACOMPANHAMENTO="BM",ROUND(OFFSET(ORÇAMENTO!AJ$15,ROW(H36)-ROW(H$15),0),15-13*ORÇAMENTO!$AF$7),SUMPRODUCT(($Q$12:$AA$12&lt;&gt;"")*ROUND($Q36:$AA36,15-13*ORÇAMENTO!$AF$7))))</f>
        <v>4532.5</v>
      </c>
      <c r="I36" s="645" t="s">
        <v>493</v>
      </c>
      <c r="K36" s="204"/>
      <c r="L36" s="205" t="s">
        <v>255</v>
      </c>
      <c r="M36" s="206">
        <f ca="1">IF($D36&lt;&gt;"Serviço","",IF(AUTOEVENTO="manual",$A36,IF(ISERROR(MATCH($A36,$A$15:OFFSET($A36,-1,0),0)),MAX($M$15:OFFSET(M36,-1,0))+1,INDEX($M$15:OFFSET(M36,-1,0),MATCH($A36,$A$15:OFFSET($A36,-1,0),0)))))</f>
        <v>5</v>
      </c>
      <c r="N36" s="207" t="str">
        <f ca="1">IF($D36&lt;&gt;"Serviço","",IF(AUTOEVENTO="Manual",IF($A36=0,"&lt;-- defina o número do agrupador",OFFSET(EVENTOS!$D$14,$A36,0)),OFFSET($F$15,$A36,0)))</f>
        <v>RECAPEAMENTO ASFÁLTICO</v>
      </c>
      <c r="O36" s="208"/>
      <c r="Q36" s="208"/>
      <c r="R36" s="209"/>
      <c r="S36" s="209"/>
      <c r="T36" s="209"/>
      <c r="U36" s="209"/>
      <c r="V36" s="209"/>
      <c r="W36" s="209"/>
      <c r="X36" s="209"/>
      <c r="Y36" s="209"/>
      <c r="Z36" s="210"/>
      <c r="AB36" s="626">
        <f ca="1">IF(AND($D36="Serviço",AB$12&lt;&gt;0,$H36&gt;0,OR(AUTOEVENTO&lt;&gt;"manual",$M36&lt;&gt;1)),IF(Import.TipoArredondamento&lt;&gt;"TransfereGOV",ROUND(OFFSET($P36,0,AB$13),15-13*ORÇAMENTO!$AF$7)/$H36*OFFSET(ORÇAMENTO!$X$15,ROW(AB36)-ROW(AB$15),0),ROUND(ROUND(OFFSET($P36,0,AB$13),15-13*ORÇAMENTO!$AF$7)*OFFSET(ORÇAMENTO!$W$15,ROW(AB36)-ROW(AB$15),0),15-13*ORÇAMENTO!$AF$11)),0)</f>
        <v>0</v>
      </c>
      <c r="AC36" s="627">
        <f ca="1">IF(AND($D36="Serviço",AC$12&lt;&gt;0,$H36&gt;0,OR(AUTOEVENTO&lt;&gt;"manual",$M36&lt;&gt;1)),IF(Import.TipoArredondamento&lt;&gt;"TransfereGOV",ROUND(OFFSET($P36,0,AC$13),15-13*ORÇAMENTO!$AF$7)/$H36*OFFSET(ORÇAMENTO!$X$15,ROW(AC36)-ROW(AC$15),0),ROUND(ROUND(OFFSET($P36,0,AC$13),15-13*ORÇAMENTO!$AF$7)*OFFSET(ORÇAMENTO!$W$15,ROW(AC36)-ROW(AC$15),0),15-13*ORÇAMENTO!$AF$11)),0)</f>
        <v>0</v>
      </c>
      <c r="AD36" s="627">
        <f ca="1">IF(AND($D36="Serviço",AD$12&lt;&gt;0,$H36&gt;0,OR(AUTOEVENTO&lt;&gt;"manual",$M36&lt;&gt;1)),IF(Import.TipoArredondamento&lt;&gt;"TransfereGOV",ROUND(OFFSET($P36,0,AD$13),15-13*ORÇAMENTO!$AF$7)/$H36*OFFSET(ORÇAMENTO!$X$15,ROW(AD36)-ROW(AD$15),0),ROUND(ROUND(OFFSET($P36,0,AD$13),15-13*ORÇAMENTO!$AF$7)*OFFSET(ORÇAMENTO!$W$15,ROW(AD36)-ROW(AD$15),0),15-13*ORÇAMENTO!$AF$11)),0)</f>
        <v>0</v>
      </c>
      <c r="AE36" s="627">
        <f ca="1">IF(AND($D36="Serviço",AE$12&lt;&gt;0,$H36&gt;0,OR(AUTOEVENTO&lt;&gt;"manual",$M36&lt;&gt;1)),IF(Import.TipoArredondamento&lt;&gt;"TransfereGOV",ROUND(OFFSET($P36,0,AE$13),15-13*ORÇAMENTO!$AF$7)/$H36*OFFSET(ORÇAMENTO!$X$15,ROW(AE36)-ROW(AE$15),0),ROUND(ROUND(OFFSET($P36,0,AE$13),15-13*ORÇAMENTO!$AF$7)*OFFSET(ORÇAMENTO!$W$15,ROW(AE36)-ROW(AE$15),0),15-13*ORÇAMENTO!$AF$11)),0)</f>
        <v>0</v>
      </c>
      <c r="AF36" s="627">
        <f ca="1">IF(AND($D36="Serviço",AF$12&lt;&gt;0,$H36&gt;0,OR(AUTOEVENTO&lt;&gt;"manual",$M36&lt;&gt;1)),IF(Import.TipoArredondamento&lt;&gt;"TransfereGOV",ROUND(OFFSET($P36,0,AF$13),15-13*ORÇAMENTO!$AF$7)/$H36*OFFSET(ORÇAMENTO!$X$15,ROW(AF36)-ROW(AF$15),0),ROUND(ROUND(OFFSET($P36,0,AF$13),15-13*ORÇAMENTO!$AF$7)*OFFSET(ORÇAMENTO!$W$15,ROW(AF36)-ROW(AF$15),0),15-13*ORÇAMENTO!$AF$11)),0)</f>
        <v>0</v>
      </c>
      <c r="AG36" s="627">
        <f ca="1">IF(AND($D36="Serviço",AG$12&lt;&gt;0,$H36&gt;0,OR(AUTOEVENTO&lt;&gt;"manual",$M36&lt;&gt;1)),IF(Import.TipoArredondamento&lt;&gt;"TransfereGOV",ROUND(OFFSET($P36,0,AG$13),15-13*ORÇAMENTO!$AF$7)/$H36*OFFSET(ORÇAMENTO!$X$15,ROW(AG36)-ROW(AG$15),0),ROUND(ROUND(OFFSET($P36,0,AG$13),15-13*ORÇAMENTO!$AF$7)*OFFSET(ORÇAMENTO!$W$15,ROW(AG36)-ROW(AG$15),0),15-13*ORÇAMENTO!$AF$11)),0)</f>
        <v>0</v>
      </c>
      <c r="AH36" s="627">
        <f ca="1">IF(AND($D36="Serviço",AH$12&lt;&gt;0,$H36&gt;0,OR(AUTOEVENTO&lt;&gt;"manual",$M36&lt;&gt;1)),IF(Import.TipoArredondamento&lt;&gt;"TransfereGOV",ROUND(OFFSET($P36,0,AH$13),15-13*ORÇAMENTO!$AF$7)/$H36*OFFSET(ORÇAMENTO!$X$15,ROW(AH36)-ROW(AH$15),0),ROUND(ROUND(OFFSET($P36,0,AH$13),15-13*ORÇAMENTO!$AF$7)*OFFSET(ORÇAMENTO!$W$15,ROW(AH36)-ROW(AH$15),0),15-13*ORÇAMENTO!$AF$11)),0)</f>
        <v>0</v>
      </c>
      <c r="AI36" s="627">
        <f ca="1">IF(AND($D36="Serviço",AI$12&lt;&gt;0,$H36&gt;0,OR(AUTOEVENTO&lt;&gt;"manual",$M36&lt;&gt;1)),IF(Import.TipoArredondamento&lt;&gt;"TransfereGOV",ROUND(OFFSET($P36,0,AI$13),15-13*ORÇAMENTO!$AF$7)/$H36*OFFSET(ORÇAMENTO!$X$15,ROW(AI36)-ROW(AI$15),0),ROUND(ROUND(OFFSET($P36,0,AI$13),15-13*ORÇAMENTO!$AF$7)*OFFSET(ORÇAMENTO!$W$15,ROW(AI36)-ROW(AI$15),0),15-13*ORÇAMENTO!$AF$11)),0)</f>
        <v>0</v>
      </c>
      <c r="AJ36" s="627">
        <f ca="1">IF(AND($D36="Serviço",AJ$12&lt;&gt;0,$H36&gt;0,OR(AUTOEVENTO&lt;&gt;"manual",$M36&lt;&gt;1)),IF(Import.TipoArredondamento&lt;&gt;"TransfereGOV",ROUND(OFFSET($P36,0,AJ$13),15-13*ORÇAMENTO!$AF$7)/$H36*OFFSET(ORÇAMENTO!$X$15,ROW(AJ36)-ROW(AJ$15),0),ROUND(ROUND(OFFSET($P36,0,AJ$13),15-13*ORÇAMENTO!$AF$7)*OFFSET(ORÇAMENTO!$W$15,ROW(AJ36)-ROW(AJ$15),0),15-13*ORÇAMENTO!$AF$11)),0)</f>
        <v>0</v>
      </c>
      <c r="AK36" s="628">
        <f ca="1">IF(AND($D36="Serviço",AK$12&lt;&gt;0,$H36&gt;0,OR(AUTOEVENTO&lt;&gt;"manual",$M36&lt;&gt;1)),IF(Import.TipoArredondamento&lt;&gt;"TransfereGOV",ROUND(OFFSET($P36,0,AK$13),15-13*ORÇAMENTO!$AF$7)/$H36*OFFSET(ORÇAMENTO!$X$15,ROW(AK36)-ROW(AK$15),0),ROUND(ROUND(OFFSET($P36,0,AK$13),15-13*ORÇAMENTO!$AF$7)*OFFSET(ORÇAMENTO!$W$15,ROW(AK36)-ROW(AK$15),0),15-13*ORÇAMENTO!$AF$11)),0)</f>
        <v>0</v>
      </c>
      <c r="AM36" s="211">
        <f ca="1">IF($D36&lt;&gt;"Serviço",0,IF(AND(AUTOEVENTO="Manual",$M36=1),0,IF(OFFSET(CRONOPLE!$F$14,$M36,AM$13)="",10^12,OFFSET(CRONOPLE!$F$14,$M36,AM$13))))</f>
        <v>1000000000000</v>
      </c>
      <c r="AN36" s="211">
        <f ca="1">IF($D36&lt;&gt;"Serviço",0,IF(AND(AUTOEVENTO="Manual",$M36=1),0,IF(OFFSET(CRONOPLE!$F$14,$M36,AN$13)="",10^12,OFFSET(CRONOPLE!$F$14,$M36,AN$13))))</f>
        <v>1000000000000</v>
      </c>
      <c r="AO36" s="211">
        <f ca="1">IF($D36&lt;&gt;"Serviço",0,IF(AND(AUTOEVENTO="Manual",$M36=1),0,IF(OFFSET(CRONOPLE!$F$14,$M36,AO$13)="",10^12,OFFSET(CRONOPLE!$F$14,$M36,AO$13))))</f>
        <v>1000000000000</v>
      </c>
      <c r="AP36" s="211">
        <f ca="1">IF($D36&lt;&gt;"Serviço",0,IF(AND(AUTOEVENTO="Manual",$M36=1),0,IF(OFFSET(CRONOPLE!$F$14,$M36,AP$13)="",10^12,OFFSET(CRONOPLE!$F$14,$M36,AP$13))))</f>
        <v>1000000000000</v>
      </c>
      <c r="AQ36" s="211">
        <f ca="1">IF($D36&lt;&gt;"Serviço",0,IF(AND(AUTOEVENTO="Manual",$M36=1),0,IF(OFFSET(CRONOPLE!$F$14,$M36,AQ$13)="",10^12,OFFSET(CRONOPLE!$F$14,$M36,AQ$13))))</f>
        <v>1000000000000</v>
      </c>
      <c r="AR36" s="211">
        <f ca="1">IF($D36&lt;&gt;"Serviço",0,IF(AND(AUTOEVENTO="Manual",$M36=1),0,IF(OFFSET(CRONOPLE!$F$14,$M36,AR$13)="",10^12,OFFSET(CRONOPLE!$F$14,$M36,AR$13))))</f>
        <v>1000000000000</v>
      </c>
      <c r="AS36" s="211">
        <f ca="1">IF($D36&lt;&gt;"Serviço",0,IF(AND(AUTOEVENTO="Manual",$M36=1),0,IF(OFFSET(CRONOPLE!$F$14,$M36,AS$13)="",10^12,OFFSET(CRONOPLE!$F$14,$M36,AS$13))))</f>
        <v>1000000000000</v>
      </c>
      <c r="AT36" s="211">
        <f ca="1">IF($D36&lt;&gt;"Serviço",0,IF(AND(AUTOEVENTO="Manual",$M36=1),0,IF(OFFSET(CRONOPLE!$F$14,$M36,AT$13)="",10^12,OFFSET(CRONOPLE!$F$14,$M36,AT$13))))</f>
        <v>1000000000000</v>
      </c>
      <c r="AU36" s="211">
        <f ca="1">IF($D36&lt;&gt;"Serviço",0,IF(AND(AUTOEVENTO="Manual",$M36=1),0,IF(OFFSET(CRONOPLE!$F$14,$M36,AU$13)="",10^12,OFFSET(CRONOPLE!$F$14,$M36,AU$13))))</f>
        <v>1000000000000</v>
      </c>
      <c r="AV36" s="211">
        <f ca="1">IF($D36&lt;&gt;"Serviço",0,IF(AND(AUTOEVENTO="Manual",$M36=1),0,IF(OFFSET(CRONOPLE!$F$14,$M36,AV$13)="",10^12,OFFSET(CRONOPLE!$F$14,$M36,AV$13))))</f>
        <v>1000000000000</v>
      </c>
      <c r="AX36" s="212">
        <f ca="1">IF($D36&lt;&gt;"Serviço",0,IF(OR(AND(AUTOEVENTO="Manual",$M36=1),$M36&gt;(ROW(PLE.lastrow)-ROW(PLE.firstrow))),0,IF(OFFSET(PLE!$G$14,$M36,AX$13)="",10^12,OFFSET(PLE!$G$14,$M36,AX$13))))</f>
        <v>1000000000000</v>
      </c>
      <c r="AY36" s="212">
        <f ca="1">IF($D36&lt;&gt;"Serviço",0,IF(OR(AND(AUTOEVENTO="Manual",$M36=1),$M36&gt;(ROW(PLE.lastrow)-ROW(PLE.firstrow))),0,IF(OFFSET(PLE!$G$14,$M36,AY$13)="",10^12,OFFSET(PLE!$G$14,$M36,AY$13))))</f>
        <v>1000000000000</v>
      </c>
      <c r="AZ36" s="212">
        <f ca="1">IF($D36&lt;&gt;"Serviço",0,IF(OR(AND(AUTOEVENTO="Manual",$M36=1),$M36&gt;(ROW(PLE.lastrow)-ROW(PLE.firstrow))),0,IF(OFFSET(PLE!$G$14,$M36,AZ$13)="",10^12,OFFSET(PLE!$G$14,$M36,AZ$13))))</f>
        <v>1000000000000</v>
      </c>
      <c r="BA36" s="212">
        <f ca="1">IF($D36&lt;&gt;"Serviço",0,IF(OR(AND(AUTOEVENTO="Manual",$M36=1),$M36&gt;(ROW(PLE.lastrow)-ROW(PLE.firstrow))),0,IF(OFFSET(PLE!$G$14,$M36,BA$13)="",10^12,OFFSET(PLE!$G$14,$M36,BA$13))))</f>
        <v>1000000000000</v>
      </c>
      <c r="BB36" s="212">
        <f ca="1">IF($D36&lt;&gt;"Serviço",0,IF(OR(AND(AUTOEVENTO="Manual",$M36=1),$M36&gt;(ROW(PLE.lastrow)-ROW(PLE.firstrow))),0,IF(OFFSET(PLE!$G$14,$M36,BB$13)="",10^12,OFFSET(PLE!$G$14,$M36,BB$13))))</f>
        <v>1000000000000</v>
      </c>
      <c r="BC36" s="212">
        <f ca="1">IF($D36&lt;&gt;"Serviço",0,IF(OR(AND(AUTOEVENTO="Manual",$M36=1),$M36&gt;(ROW(PLE.lastrow)-ROW(PLE.firstrow))),0,IF(OFFSET(PLE!$G$14,$M36,BC$13)="",10^12,OFFSET(PLE!$G$14,$M36,BC$13))))</f>
        <v>1000000000000</v>
      </c>
      <c r="BD36" s="212">
        <f ca="1">IF($D36&lt;&gt;"Serviço",0,IF(OR(AND(AUTOEVENTO="Manual",$M36=1),$M36&gt;(ROW(PLE.lastrow)-ROW(PLE.firstrow))),0,IF(OFFSET(PLE!$G$14,$M36,BD$13)="",10^12,OFFSET(PLE!$G$14,$M36,BD$13))))</f>
        <v>1000000000000</v>
      </c>
      <c r="BE36" s="212">
        <f ca="1">IF($D36&lt;&gt;"Serviço",0,IF(OR(AND(AUTOEVENTO="Manual",$M36=1),$M36&gt;(ROW(PLE.lastrow)-ROW(PLE.firstrow))),0,IF(OFFSET(PLE!$G$14,$M36,BE$13)="",10^12,OFFSET(PLE!$G$14,$M36,BE$13))))</f>
        <v>1000000000000</v>
      </c>
      <c r="BF36" s="212">
        <f ca="1">IF($D36&lt;&gt;"Serviço",0,IF(OR(AND(AUTOEVENTO="Manual",$M36=1),$M36&gt;(ROW(PLE.lastrow)-ROW(PLE.firstrow))),0,IF(OFFSET(PLE!$G$14,$M36,BF$13)="",10^12,OFFSET(PLE!$G$14,$M36,BF$13))))</f>
        <v>1000000000000</v>
      </c>
      <c r="BG36" s="212">
        <f ca="1">IF($D36&lt;&gt;"Serviço",0,IF(OR(AND(AUTOEVENTO="Manual",$M36=1),$M36&gt;(ROW(PLE.lastrow)-ROW(PLE.firstrow))),0,IF(OFFSET(PLE!$G$14,$M36,BG$13)="",10^12,OFFSET(PLE!$G$14,$M36,BG$13))))</f>
        <v>1000000000000</v>
      </c>
    </row>
    <row r="37" spans="1:59" ht="12.75">
      <c r="A37" s="9" t="str">
        <f t="shared" ca="1" si="8"/>
        <v>22.</v>
      </c>
      <c r="B37" s="9">
        <f ca="1">OFFSET(ORÇAMENTO!C$15,ROW(B37)-ROW(B$15),0)</f>
        <v>2</v>
      </c>
      <c r="C37" s="9" t="str">
        <f ca="1">OFFSET(ORÇAMENTO!L$15,ROW(C37)-ROW(C$15),0)</f>
        <v>F</v>
      </c>
      <c r="D37" s="141" t="str">
        <f ca="1">OFFSET(ORÇAMENTO!N$15,ROW(D37)-ROW(D$15),0)</f>
        <v>Nível 2</v>
      </c>
      <c r="E37" s="201" t="str">
        <f ca="1">OFFSET(ORÇAMENTO!O$15,ROW(E37)-ROW(E$15),0)</f>
        <v>1.5.</v>
      </c>
      <c r="F37" s="202" t="str">
        <f ca="1">OFFSET(ORÇAMENTO!R$15,ROW(F37)-ROW(F$15),0)</f>
        <v>SINALIZAÇÃO VERTICAL</v>
      </c>
      <c r="G37" s="203" t="str">
        <f ca="1">IF($D37&lt;&gt;"Serviço","",OFFSET(ORÇAMENTO!S$15,ROW(G37)-ROW(G$15),0))</f>
        <v/>
      </c>
      <c r="H37" s="147">
        <f ca="1">IF($D37&lt;&gt;"Serviço",0,IF(ACOMPANHAMENTO="BM",ROUND(OFFSET(ORÇAMENTO!AJ$15,ROW(H37)-ROW(H$15),0),15-13*ORÇAMENTO!$AF$7),SUMPRODUCT(($Q$12:$AA$12&lt;&gt;"")*ROUND($Q37:$AA37,15-13*ORÇAMENTO!$AF$7))))</f>
        <v>0</v>
      </c>
      <c r="I37" s="645"/>
      <c r="K37" s="204"/>
      <c r="L37" s="205" t="s">
        <v>255</v>
      </c>
      <c r="M37" s="206" t="str">
        <f ca="1">IF($D37&lt;&gt;"Serviço","",IF(AUTOEVENTO="manual",$A37,IF(ISERROR(MATCH($A37,$A$15:OFFSET($A37,-1,0),0)),MAX($M$15:OFFSET(M37,-1,0))+1,INDEX($M$15:OFFSET(M37,-1,0),MATCH($A37,$A$15:OFFSET($A37,-1,0),0)))))</f>
        <v/>
      </c>
      <c r="N37" s="207" t="str">
        <f ca="1">IF($D37&lt;&gt;"Serviço","",IF(AUTOEVENTO="Manual",IF($A37=0,"&lt;-- defina o número do agrupador",OFFSET(EVENTOS!$D$14,$A37,0)),OFFSET($F$15,$A37,0)))</f>
        <v/>
      </c>
      <c r="O37" s="208"/>
      <c r="Q37" s="208"/>
      <c r="R37" s="209"/>
      <c r="S37" s="209"/>
      <c r="T37" s="209"/>
      <c r="U37" s="209"/>
      <c r="V37" s="209"/>
      <c r="W37" s="209"/>
      <c r="X37" s="209"/>
      <c r="Y37" s="209"/>
      <c r="Z37" s="210"/>
      <c r="AB37" s="626">
        <f ca="1">IF(AND($D37="Serviço",AB$12&lt;&gt;0,$H37&gt;0,OR(AUTOEVENTO&lt;&gt;"manual",$M37&lt;&gt;1)),IF(Import.TipoArredondamento&lt;&gt;"TransfereGOV",ROUND(OFFSET($P37,0,AB$13),15-13*ORÇAMENTO!$AF$7)/$H37*OFFSET(ORÇAMENTO!$X$15,ROW(AB37)-ROW(AB$15),0),ROUND(ROUND(OFFSET($P37,0,AB$13),15-13*ORÇAMENTO!$AF$7)*OFFSET(ORÇAMENTO!$W$15,ROW(AB37)-ROW(AB$15),0),15-13*ORÇAMENTO!$AF$11)),0)</f>
        <v>0</v>
      </c>
      <c r="AC37" s="627">
        <f ca="1">IF(AND($D37="Serviço",AC$12&lt;&gt;0,$H37&gt;0,OR(AUTOEVENTO&lt;&gt;"manual",$M37&lt;&gt;1)),IF(Import.TipoArredondamento&lt;&gt;"TransfereGOV",ROUND(OFFSET($P37,0,AC$13),15-13*ORÇAMENTO!$AF$7)/$H37*OFFSET(ORÇAMENTO!$X$15,ROW(AC37)-ROW(AC$15),0),ROUND(ROUND(OFFSET($P37,0,AC$13),15-13*ORÇAMENTO!$AF$7)*OFFSET(ORÇAMENTO!$W$15,ROW(AC37)-ROW(AC$15),0),15-13*ORÇAMENTO!$AF$11)),0)</f>
        <v>0</v>
      </c>
      <c r="AD37" s="627">
        <f ca="1">IF(AND($D37="Serviço",AD$12&lt;&gt;0,$H37&gt;0,OR(AUTOEVENTO&lt;&gt;"manual",$M37&lt;&gt;1)),IF(Import.TipoArredondamento&lt;&gt;"TransfereGOV",ROUND(OFFSET($P37,0,AD$13),15-13*ORÇAMENTO!$AF$7)/$H37*OFFSET(ORÇAMENTO!$X$15,ROW(AD37)-ROW(AD$15),0),ROUND(ROUND(OFFSET($P37,0,AD$13),15-13*ORÇAMENTO!$AF$7)*OFFSET(ORÇAMENTO!$W$15,ROW(AD37)-ROW(AD$15),0),15-13*ORÇAMENTO!$AF$11)),0)</f>
        <v>0</v>
      </c>
      <c r="AE37" s="627">
        <f ca="1">IF(AND($D37="Serviço",AE$12&lt;&gt;0,$H37&gt;0,OR(AUTOEVENTO&lt;&gt;"manual",$M37&lt;&gt;1)),IF(Import.TipoArredondamento&lt;&gt;"TransfereGOV",ROUND(OFFSET($P37,0,AE$13),15-13*ORÇAMENTO!$AF$7)/$H37*OFFSET(ORÇAMENTO!$X$15,ROW(AE37)-ROW(AE$15),0),ROUND(ROUND(OFFSET($P37,0,AE$13),15-13*ORÇAMENTO!$AF$7)*OFFSET(ORÇAMENTO!$W$15,ROW(AE37)-ROW(AE$15),0),15-13*ORÇAMENTO!$AF$11)),0)</f>
        <v>0</v>
      </c>
      <c r="AF37" s="627">
        <f ca="1">IF(AND($D37="Serviço",AF$12&lt;&gt;0,$H37&gt;0,OR(AUTOEVENTO&lt;&gt;"manual",$M37&lt;&gt;1)),IF(Import.TipoArredondamento&lt;&gt;"TransfereGOV",ROUND(OFFSET($P37,0,AF$13),15-13*ORÇAMENTO!$AF$7)/$H37*OFFSET(ORÇAMENTO!$X$15,ROW(AF37)-ROW(AF$15),0),ROUND(ROUND(OFFSET($P37,0,AF$13),15-13*ORÇAMENTO!$AF$7)*OFFSET(ORÇAMENTO!$W$15,ROW(AF37)-ROW(AF$15),0),15-13*ORÇAMENTO!$AF$11)),0)</f>
        <v>0</v>
      </c>
      <c r="AG37" s="627">
        <f ca="1">IF(AND($D37="Serviço",AG$12&lt;&gt;0,$H37&gt;0,OR(AUTOEVENTO&lt;&gt;"manual",$M37&lt;&gt;1)),IF(Import.TipoArredondamento&lt;&gt;"TransfereGOV",ROUND(OFFSET($P37,0,AG$13),15-13*ORÇAMENTO!$AF$7)/$H37*OFFSET(ORÇAMENTO!$X$15,ROW(AG37)-ROW(AG$15),0),ROUND(ROUND(OFFSET($P37,0,AG$13),15-13*ORÇAMENTO!$AF$7)*OFFSET(ORÇAMENTO!$W$15,ROW(AG37)-ROW(AG$15),0),15-13*ORÇAMENTO!$AF$11)),0)</f>
        <v>0</v>
      </c>
      <c r="AH37" s="627">
        <f ca="1">IF(AND($D37="Serviço",AH$12&lt;&gt;0,$H37&gt;0,OR(AUTOEVENTO&lt;&gt;"manual",$M37&lt;&gt;1)),IF(Import.TipoArredondamento&lt;&gt;"TransfereGOV",ROUND(OFFSET($P37,0,AH$13),15-13*ORÇAMENTO!$AF$7)/$H37*OFFSET(ORÇAMENTO!$X$15,ROW(AH37)-ROW(AH$15),0),ROUND(ROUND(OFFSET($P37,0,AH$13),15-13*ORÇAMENTO!$AF$7)*OFFSET(ORÇAMENTO!$W$15,ROW(AH37)-ROW(AH$15),0),15-13*ORÇAMENTO!$AF$11)),0)</f>
        <v>0</v>
      </c>
      <c r="AI37" s="627">
        <f ca="1">IF(AND($D37="Serviço",AI$12&lt;&gt;0,$H37&gt;0,OR(AUTOEVENTO&lt;&gt;"manual",$M37&lt;&gt;1)),IF(Import.TipoArredondamento&lt;&gt;"TransfereGOV",ROUND(OFFSET($P37,0,AI$13),15-13*ORÇAMENTO!$AF$7)/$H37*OFFSET(ORÇAMENTO!$X$15,ROW(AI37)-ROW(AI$15),0),ROUND(ROUND(OFFSET($P37,0,AI$13),15-13*ORÇAMENTO!$AF$7)*OFFSET(ORÇAMENTO!$W$15,ROW(AI37)-ROW(AI$15),0),15-13*ORÇAMENTO!$AF$11)),0)</f>
        <v>0</v>
      </c>
      <c r="AJ37" s="627">
        <f ca="1">IF(AND($D37="Serviço",AJ$12&lt;&gt;0,$H37&gt;0,OR(AUTOEVENTO&lt;&gt;"manual",$M37&lt;&gt;1)),IF(Import.TipoArredondamento&lt;&gt;"TransfereGOV",ROUND(OFFSET($P37,0,AJ$13),15-13*ORÇAMENTO!$AF$7)/$H37*OFFSET(ORÇAMENTO!$X$15,ROW(AJ37)-ROW(AJ$15),0),ROUND(ROUND(OFFSET($P37,0,AJ$13),15-13*ORÇAMENTO!$AF$7)*OFFSET(ORÇAMENTO!$W$15,ROW(AJ37)-ROW(AJ$15),0),15-13*ORÇAMENTO!$AF$11)),0)</f>
        <v>0</v>
      </c>
      <c r="AK37" s="628">
        <f ca="1">IF(AND($D37="Serviço",AK$12&lt;&gt;0,$H37&gt;0,OR(AUTOEVENTO&lt;&gt;"manual",$M37&lt;&gt;1)),IF(Import.TipoArredondamento&lt;&gt;"TransfereGOV",ROUND(OFFSET($P37,0,AK$13),15-13*ORÇAMENTO!$AF$7)/$H37*OFFSET(ORÇAMENTO!$X$15,ROW(AK37)-ROW(AK$15),0),ROUND(ROUND(OFFSET($P37,0,AK$13),15-13*ORÇAMENTO!$AF$7)*OFFSET(ORÇAMENTO!$W$15,ROW(AK37)-ROW(AK$15),0),15-13*ORÇAMENTO!$AF$11)),0)</f>
        <v>0</v>
      </c>
      <c r="AM37" s="211">
        <f ca="1">IF($D37&lt;&gt;"Serviço",0,IF(AND(AUTOEVENTO="Manual",$M37=1),0,IF(OFFSET(CRONOPLE!$F$14,$M37,AM$13)="",10^12,OFFSET(CRONOPLE!$F$14,$M37,AM$13))))</f>
        <v>0</v>
      </c>
      <c r="AN37" s="211">
        <f ca="1">IF($D37&lt;&gt;"Serviço",0,IF(AND(AUTOEVENTO="Manual",$M37=1),0,IF(OFFSET(CRONOPLE!$F$14,$M37,AN$13)="",10^12,OFFSET(CRONOPLE!$F$14,$M37,AN$13))))</f>
        <v>0</v>
      </c>
      <c r="AO37" s="211">
        <f ca="1">IF($D37&lt;&gt;"Serviço",0,IF(AND(AUTOEVENTO="Manual",$M37=1),0,IF(OFFSET(CRONOPLE!$F$14,$M37,AO$13)="",10^12,OFFSET(CRONOPLE!$F$14,$M37,AO$13))))</f>
        <v>0</v>
      </c>
      <c r="AP37" s="211">
        <f ca="1">IF($D37&lt;&gt;"Serviço",0,IF(AND(AUTOEVENTO="Manual",$M37=1),0,IF(OFFSET(CRONOPLE!$F$14,$M37,AP$13)="",10^12,OFFSET(CRONOPLE!$F$14,$M37,AP$13))))</f>
        <v>0</v>
      </c>
      <c r="AQ37" s="211">
        <f ca="1">IF($D37&lt;&gt;"Serviço",0,IF(AND(AUTOEVENTO="Manual",$M37=1),0,IF(OFFSET(CRONOPLE!$F$14,$M37,AQ$13)="",10^12,OFFSET(CRONOPLE!$F$14,$M37,AQ$13))))</f>
        <v>0</v>
      </c>
      <c r="AR37" s="211">
        <f ca="1">IF($D37&lt;&gt;"Serviço",0,IF(AND(AUTOEVENTO="Manual",$M37=1),0,IF(OFFSET(CRONOPLE!$F$14,$M37,AR$13)="",10^12,OFFSET(CRONOPLE!$F$14,$M37,AR$13))))</f>
        <v>0</v>
      </c>
      <c r="AS37" s="211">
        <f ca="1">IF($D37&lt;&gt;"Serviço",0,IF(AND(AUTOEVENTO="Manual",$M37=1),0,IF(OFFSET(CRONOPLE!$F$14,$M37,AS$13)="",10^12,OFFSET(CRONOPLE!$F$14,$M37,AS$13))))</f>
        <v>0</v>
      </c>
      <c r="AT37" s="211">
        <f ca="1">IF($D37&lt;&gt;"Serviço",0,IF(AND(AUTOEVENTO="Manual",$M37=1),0,IF(OFFSET(CRONOPLE!$F$14,$M37,AT$13)="",10^12,OFFSET(CRONOPLE!$F$14,$M37,AT$13))))</f>
        <v>0</v>
      </c>
      <c r="AU37" s="211">
        <f ca="1">IF($D37&lt;&gt;"Serviço",0,IF(AND(AUTOEVENTO="Manual",$M37=1),0,IF(OFFSET(CRONOPLE!$F$14,$M37,AU$13)="",10^12,OFFSET(CRONOPLE!$F$14,$M37,AU$13))))</f>
        <v>0</v>
      </c>
      <c r="AV37" s="211">
        <f ca="1">IF($D37&lt;&gt;"Serviço",0,IF(AND(AUTOEVENTO="Manual",$M37=1),0,IF(OFFSET(CRONOPLE!$F$14,$M37,AV$13)="",10^12,OFFSET(CRONOPLE!$F$14,$M37,AV$13))))</f>
        <v>0</v>
      </c>
      <c r="AX37" s="212">
        <f ca="1">IF($D37&lt;&gt;"Serviço",0,IF(OR(AND(AUTOEVENTO="Manual",$M37=1),$M37&gt;(ROW(PLE.lastrow)-ROW(PLE.firstrow))),0,IF(OFFSET(PLE!$G$14,$M37,AX$13)="",10^12,OFFSET(PLE!$G$14,$M37,AX$13))))</f>
        <v>0</v>
      </c>
      <c r="AY37" s="212">
        <f ca="1">IF($D37&lt;&gt;"Serviço",0,IF(OR(AND(AUTOEVENTO="Manual",$M37=1),$M37&gt;(ROW(PLE.lastrow)-ROW(PLE.firstrow))),0,IF(OFFSET(PLE!$G$14,$M37,AY$13)="",10^12,OFFSET(PLE!$G$14,$M37,AY$13))))</f>
        <v>0</v>
      </c>
      <c r="AZ37" s="212">
        <f ca="1">IF($D37&lt;&gt;"Serviço",0,IF(OR(AND(AUTOEVENTO="Manual",$M37=1),$M37&gt;(ROW(PLE.lastrow)-ROW(PLE.firstrow))),0,IF(OFFSET(PLE!$G$14,$M37,AZ$13)="",10^12,OFFSET(PLE!$G$14,$M37,AZ$13))))</f>
        <v>0</v>
      </c>
      <c r="BA37" s="212">
        <f ca="1">IF($D37&lt;&gt;"Serviço",0,IF(OR(AND(AUTOEVENTO="Manual",$M37=1),$M37&gt;(ROW(PLE.lastrow)-ROW(PLE.firstrow))),0,IF(OFFSET(PLE!$G$14,$M37,BA$13)="",10^12,OFFSET(PLE!$G$14,$M37,BA$13))))</f>
        <v>0</v>
      </c>
      <c r="BB37" s="212">
        <f ca="1">IF($D37&lt;&gt;"Serviço",0,IF(OR(AND(AUTOEVENTO="Manual",$M37=1),$M37&gt;(ROW(PLE.lastrow)-ROW(PLE.firstrow))),0,IF(OFFSET(PLE!$G$14,$M37,BB$13)="",10^12,OFFSET(PLE!$G$14,$M37,BB$13))))</f>
        <v>0</v>
      </c>
      <c r="BC37" s="212">
        <f ca="1">IF($D37&lt;&gt;"Serviço",0,IF(OR(AND(AUTOEVENTO="Manual",$M37=1),$M37&gt;(ROW(PLE.lastrow)-ROW(PLE.firstrow))),0,IF(OFFSET(PLE!$G$14,$M37,BC$13)="",10^12,OFFSET(PLE!$G$14,$M37,BC$13))))</f>
        <v>0</v>
      </c>
      <c r="BD37" s="212">
        <f ca="1">IF($D37&lt;&gt;"Serviço",0,IF(OR(AND(AUTOEVENTO="Manual",$M37=1),$M37&gt;(ROW(PLE.lastrow)-ROW(PLE.firstrow))),0,IF(OFFSET(PLE!$G$14,$M37,BD$13)="",10^12,OFFSET(PLE!$G$14,$M37,BD$13))))</f>
        <v>0</v>
      </c>
      <c r="BE37" s="212">
        <f ca="1">IF($D37&lt;&gt;"Serviço",0,IF(OR(AND(AUTOEVENTO="Manual",$M37=1),$M37&gt;(ROW(PLE.lastrow)-ROW(PLE.firstrow))),0,IF(OFFSET(PLE!$G$14,$M37,BE$13)="",10^12,OFFSET(PLE!$G$14,$M37,BE$13))))</f>
        <v>0</v>
      </c>
      <c r="BF37" s="212">
        <f ca="1">IF($D37&lt;&gt;"Serviço",0,IF(OR(AND(AUTOEVENTO="Manual",$M37=1),$M37&gt;(ROW(PLE.lastrow)-ROW(PLE.firstrow))),0,IF(OFFSET(PLE!$G$14,$M37,BF$13)="",10^12,OFFSET(PLE!$G$14,$M37,BF$13))))</f>
        <v>0</v>
      </c>
      <c r="BG37" s="212">
        <f ca="1">IF($D37&lt;&gt;"Serviço",0,IF(OR(AND(AUTOEVENTO="Manual",$M37=1),$M37&gt;(ROW(PLE.lastrow)-ROW(PLE.firstrow))),0,IF(OFFSET(PLE!$G$14,$M37,BG$13)="",10^12,OFFSET(PLE!$G$14,$M37,BG$13))))</f>
        <v>0</v>
      </c>
    </row>
    <row r="38" spans="1:59" ht="38.25">
      <c r="A38" s="9" t="str">
        <f t="shared" ca="1" si="8"/>
        <v>22</v>
      </c>
      <c r="B38" s="9" t="str">
        <f ca="1">OFFSET(ORÇAMENTO!C$15,ROW(B38)-ROW(B$15),0)</f>
        <v>S</v>
      </c>
      <c r="C38" s="9" t="str">
        <f ca="1">OFFSET(ORÇAMENTO!L$15,ROW(C38)-ROW(C$15),0)</f>
        <v/>
      </c>
      <c r="D38" s="141" t="str">
        <f ca="1">OFFSET(ORÇAMENTO!N$15,ROW(D38)-ROW(D$15),0)</f>
        <v>Serviço</v>
      </c>
      <c r="E38" s="201" t="str">
        <f ca="1">OFFSET(ORÇAMENTO!O$15,ROW(E38)-ROW(E$15),0)</f>
        <v>-</v>
      </c>
      <c r="F38" s="202" t="str">
        <f ca="1">OFFSET(ORÇAMENTO!R$15,ROW(F38)-ROW(F$15),0)</f>
        <v>(abra o arquivo 'Referência 07-2024.xlsm)</v>
      </c>
      <c r="G38" s="203" t="str">
        <f ca="1">IF($D38&lt;&gt;"Serviço","",OFFSET(ORÇAMENTO!S$15,ROW(G38)-ROW(G$15),0))</f>
        <v>-</v>
      </c>
      <c r="H38" s="147">
        <f ca="1">IF($D38&lt;&gt;"Serviço",0,IF(ACOMPANHAMENTO="BM",ROUND(OFFSET(ORÇAMENTO!AJ$15,ROW(H38)-ROW(H$15),0),15-13*ORÇAMENTO!$AF$7),SUMPRODUCT(($Q$12:$AA$12&lt;&gt;"")*ROUND($Q38:$AA38,15-13*ORÇAMENTO!$AF$7))))</f>
        <v>8</v>
      </c>
      <c r="I38" s="645" t="s">
        <v>471</v>
      </c>
      <c r="K38" s="204"/>
      <c r="L38" s="205" t="s">
        <v>255</v>
      </c>
      <c r="M38" s="206">
        <f ca="1">IF($D38&lt;&gt;"Serviço","",IF(AUTOEVENTO="manual",$A38,IF(ISERROR(MATCH($A38,$A$15:OFFSET($A38,-1,0),0)),MAX($M$15:OFFSET(M38,-1,0))+1,INDEX($M$15:OFFSET(M38,-1,0),MATCH($A38,$A$15:OFFSET($A38,-1,0),0)))))</f>
        <v>6</v>
      </c>
      <c r="N38" s="207" t="str">
        <f ca="1">IF($D38&lt;&gt;"Serviço","",IF(AUTOEVENTO="Manual",IF($A38=0,"&lt;-- defina o número do agrupador",OFFSET(EVENTOS!$D$14,$A38,0)),OFFSET($F$15,$A38,0)))</f>
        <v>SINALIZAÇÃO VERTICAL</v>
      </c>
      <c r="O38" s="208"/>
      <c r="Q38" s="208"/>
      <c r="R38" s="209"/>
      <c r="S38" s="209"/>
      <c r="T38" s="209"/>
      <c r="U38" s="209"/>
      <c r="V38" s="209"/>
      <c r="W38" s="209"/>
      <c r="X38" s="209"/>
      <c r="Y38" s="209"/>
      <c r="Z38" s="210"/>
      <c r="AB38" s="626">
        <f ca="1">IF(AND($D38="Serviço",AB$12&lt;&gt;0,$H38&gt;0,OR(AUTOEVENTO&lt;&gt;"manual",$M38&lt;&gt;1)),IF(Import.TipoArredondamento&lt;&gt;"TransfereGOV",ROUND(OFFSET($P38,0,AB$13),15-13*ORÇAMENTO!$AF$7)/$H38*OFFSET(ORÇAMENTO!$X$15,ROW(AB38)-ROW(AB$15),0),ROUND(ROUND(OFFSET($P38,0,AB$13),15-13*ORÇAMENTO!$AF$7)*OFFSET(ORÇAMENTO!$W$15,ROW(AB38)-ROW(AB$15),0),15-13*ORÇAMENTO!$AF$11)),0)</f>
        <v>0</v>
      </c>
      <c r="AC38" s="627">
        <f ca="1">IF(AND($D38="Serviço",AC$12&lt;&gt;0,$H38&gt;0,OR(AUTOEVENTO&lt;&gt;"manual",$M38&lt;&gt;1)),IF(Import.TipoArredondamento&lt;&gt;"TransfereGOV",ROUND(OFFSET($P38,0,AC$13),15-13*ORÇAMENTO!$AF$7)/$H38*OFFSET(ORÇAMENTO!$X$15,ROW(AC38)-ROW(AC$15),0),ROUND(ROUND(OFFSET($P38,0,AC$13),15-13*ORÇAMENTO!$AF$7)*OFFSET(ORÇAMENTO!$W$15,ROW(AC38)-ROW(AC$15),0),15-13*ORÇAMENTO!$AF$11)),0)</f>
        <v>0</v>
      </c>
      <c r="AD38" s="627">
        <f ca="1">IF(AND($D38="Serviço",AD$12&lt;&gt;0,$H38&gt;0,OR(AUTOEVENTO&lt;&gt;"manual",$M38&lt;&gt;1)),IF(Import.TipoArredondamento&lt;&gt;"TransfereGOV",ROUND(OFFSET($P38,0,AD$13),15-13*ORÇAMENTO!$AF$7)/$H38*OFFSET(ORÇAMENTO!$X$15,ROW(AD38)-ROW(AD$15),0),ROUND(ROUND(OFFSET($P38,0,AD$13),15-13*ORÇAMENTO!$AF$7)*OFFSET(ORÇAMENTO!$W$15,ROW(AD38)-ROW(AD$15),0),15-13*ORÇAMENTO!$AF$11)),0)</f>
        <v>0</v>
      </c>
      <c r="AE38" s="627">
        <f ca="1">IF(AND($D38="Serviço",AE$12&lt;&gt;0,$H38&gt;0,OR(AUTOEVENTO&lt;&gt;"manual",$M38&lt;&gt;1)),IF(Import.TipoArredondamento&lt;&gt;"TransfereGOV",ROUND(OFFSET($P38,0,AE$13),15-13*ORÇAMENTO!$AF$7)/$H38*OFFSET(ORÇAMENTO!$X$15,ROW(AE38)-ROW(AE$15),0),ROUND(ROUND(OFFSET($P38,0,AE$13),15-13*ORÇAMENTO!$AF$7)*OFFSET(ORÇAMENTO!$W$15,ROW(AE38)-ROW(AE$15),0),15-13*ORÇAMENTO!$AF$11)),0)</f>
        <v>0</v>
      </c>
      <c r="AF38" s="627">
        <f ca="1">IF(AND($D38="Serviço",AF$12&lt;&gt;0,$H38&gt;0,OR(AUTOEVENTO&lt;&gt;"manual",$M38&lt;&gt;1)),IF(Import.TipoArredondamento&lt;&gt;"TransfereGOV",ROUND(OFFSET($P38,0,AF$13),15-13*ORÇAMENTO!$AF$7)/$H38*OFFSET(ORÇAMENTO!$X$15,ROW(AF38)-ROW(AF$15),0),ROUND(ROUND(OFFSET($P38,0,AF$13),15-13*ORÇAMENTO!$AF$7)*OFFSET(ORÇAMENTO!$W$15,ROW(AF38)-ROW(AF$15),0),15-13*ORÇAMENTO!$AF$11)),0)</f>
        <v>0</v>
      </c>
      <c r="AG38" s="627">
        <f ca="1">IF(AND($D38="Serviço",AG$12&lt;&gt;0,$H38&gt;0,OR(AUTOEVENTO&lt;&gt;"manual",$M38&lt;&gt;1)),IF(Import.TipoArredondamento&lt;&gt;"TransfereGOV",ROUND(OFFSET($P38,0,AG$13),15-13*ORÇAMENTO!$AF$7)/$H38*OFFSET(ORÇAMENTO!$X$15,ROW(AG38)-ROW(AG$15),0),ROUND(ROUND(OFFSET($P38,0,AG$13),15-13*ORÇAMENTO!$AF$7)*OFFSET(ORÇAMENTO!$W$15,ROW(AG38)-ROW(AG$15),0),15-13*ORÇAMENTO!$AF$11)),0)</f>
        <v>0</v>
      </c>
      <c r="AH38" s="627">
        <f ca="1">IF(AND($D38="Serviço",AH$12&lt;&gt;0,$H38&gt;0,OR(AUTOEVENTO&lt;&gt;"manual",$M38&lt;&gt;1)),IF(Import.TipoArredondamento&lt;&gt;"TransfereGOV",ROUND(OFFSET($P38,0,AH$13),15-13*ORÇAMENTO!$AF$7)/$H38*OFFSET(ORÇAMENTO!$X$15,ROW(AH38)-ROW(AH$15),0),ROUND(ROUND(OFFSET($P38,0,AH$13),15-13*ORÇAMENTO!$AF$7)*OFFSET(ORÇAMENTO!$W$15,ROW(AH38)-ROW(AH$15),0),15-13*ORÇAMENTO!$AF$11)),0)</f>
        <v>0</v>
      </c>
      <c r="AI38" s="627">
        <f ca="1">IF(AND($D38="Serviço",AI$12&lt;&gt;0,$H38&gt;0,OR(AUTOEVENTO&lt;&gt;"manual",$M38&lt;&gt;1)),IF(Import.TipoArredondamento&lt;&gt;"TransfereGOV",ROUND(OFFSET($P38,0,AI$13),15-13*ORÇAMENTO!$AF$7)/$H38*OFFSET(ORÇAMENTO!$X$15,ROW(AI38)-ROW(AI$15),0),ROUND(ROUND(OFFSET($P38,0,AI$13),15-13*ORÇAMENTO!$AF$7)*OFFSET(ORÇAMENTO!$W$15,ROW(AI38)-ROW(AI$15),0),15-13*ORÇAMENTO!$AF$11)),0)</f>
        <v>0</v>
      </c>
      <c r="AJ38" s="627">
        <f ca="1">IF(AND($D38="Serviço",AJ$12&lt;&gt;0,$H38&gt;0,OR(AUTOEVENTO&lt;&gt;"manual",$M38&lt;&gt;1)),IF(Import.TipoArredondamento&lt;&gt;"TransfereGOV",ROUND(OFFSET($P38,0,AJ$13),15-13*ORÇAMENTO!$AF$7)/$H38*OFFSET(ORÇAMENTO!$X$15,ROW(AJ38)-ROW(AJ$15),0),ROUND(ROUND(OFFSET($P38,0,AJ$13),15-13*ORÇAMENTO!$AF$7)*OFFSET(ORÇAMENTO!$W$15,ROW(AJ38)-ROW(AJ$15),0),15-13*ORÇAMENTO!$AF$11)),0)</f>
        <v>0</v>
      </c>
      <c r="AK38" s="628">
        <f ca="1">IF(AND($D38="Serviço",AK$12&lt;&gt;0,$H38&gt;0,OR(AUTOEVENTO&lt;&gt;"manual",$M38&lt;&gt;1)),IF(Import.TipoArredondamento&lt;&gt;"TransfereGOV",ROUND(OFFSET($P38,0,AK$13),15-13*ORÇAMENTO!$AF$7)/$H38*OFFSET(ORÇAMENTO!$X$15,ROW(AK38)-ROW(AK$15),0),ROUND(ROUND(OFFSET($P38,0,AK$13),15-13*ORÇAMENTO!$AF$7)*OFFSET(ORÇAMENTO!$W$15,ROW(AK38)-ROW(AK$15),0),15-13*ORÇAMENTO!$AF$11)),0)</f>
        <v>0</v>
      </c>
      <c r="AM38" s="211">
        <f ca="1">IF($D38&lt;&gt;"Serviço",0,IF(AND(AUTOEVENTO="Manual",$M38=1),0,IF(OFFSET(CRONOPLE!$F$14,$M38,AM$13)="",10^12,OFFSET(CRONOPLE!$F$14,$M38,AM$13))))</f>
        <v>1000000000000</v>
      </c>
      <c r="AN38" s="211">
        <f ca="1">IF($D38&lt;&gt;"Serviço",0,IF(AND(AUTOEVENTO="Manual",$M38=1),0,IF(OFFSET(CRONOPLE!$F$14,$M38,AN$13)="",10^12,OFFSET(CRONOPLE!$F$14,$M38,AN$13))))</f>
        <v>1000000000000</v>
      </c>
      <c r="AO38" s="211">
        <f ca="1">IF($D38&lt;&gt;"Serviço",0,IF(AND(AUTOEVENTO="Manual",$M38=1),0,IF(OFFSET(CRONOPLE!$F$14,$M38,AO$13)="",10^12,OFFSET(CRONOPLE!$F$14,$M38,AO$13))))</f>
        <v>1000000000000</v>
      </c>
      <c r="AP38" s="211">
        <f ca="1">IF($D38&lt;&gt;"Serviço",0,IF(AND(AUTOEVENTO="Manual",$M38=1),0,IF(OFFSET(CRONOPLE!$F$14,$M38,AP$13)="",10^12,OFFSET(CRONOPLE!$F$14,$M38,AP$13))))</f>
        <v>1000000000000</v>
      </c>
      <c r="AQ38" s="211">
        <f ca="1">IF($D38&lt;&gt;"Serviço",0,IF(AND(AUTOEVENTO="Manual",$M38=1),0,IF(OFFSET(CRONOPLE!$F$14,$M38,AQ$13)="",10^12,OFFSET(CRONOPLE!$F$14,$M38,AQ$13))))</f>
        <v>1000000000000</v>
      </c>
      <c r="AR38" s="211">
        <f ca="1">IF($D38&lt;&gt;"Serviço",0,IF(AND(AUTOEVENTO="Manual",$M38=1),0,IF(OFFSET(CRONOPLE!$F$14,$M38,AR$13)="",10^12,OFFSET(CRONOPLE!$F$14,$M38,AR$13))))</f>
        <v>1000000000000</v>
      </c>
      <c r="AS38" s="211">
        <f ca="1">IF($D38&lt;&gt;"Serviço",0,IF(AND(AUTOEVENTO="Manual",$M38=1),0,IF(OFFSET(CRONOPLE!$F$14,$M38,AS$13)="",10^12,OFFSET(CRONOPLE!$F$14,$M38,AS$13))))</f>
        <v>1000000000000</v>
      </c>
      <c r="AT38" s="211">
        <f ca="1">IF($D38&lt;&gt;"Serviço",0,IF(AND(AUTOEVENTO="Manual",$M38=1),0,IF(OFFSET(CRONOPLE!$F$14,$M38,AT$13)="",10^12,OFFSET(CRONOPLE!$F$14,$M38,AT$13))))</f>
        <v>1000000000000</v>
      </c>
      <c r="AU38" s="211">
        <f ca="1">IF($D38&lt;&gt;"Serviço",0,IF(AND(AUTOEVENTO="Manual",$M38=1),0,IF(OFFSET(CRONOPLE!$F$14,$M38,AU$13)="",10^12,OFFSET(CRONOPLE!$F$14,$M38,AU$13))))</f>
        <v>1000000000000</v>
      </c>
      <c r="AV38" s="211">
        <f ca="1">IF($D38&lt;&gt;"Serviço",0,IF(AND(AUTOEVENTO="Manual",$M38=1),0,IF(OFFSET(CRONOPLE!$F$14,$M38,AV$13)="",10^12,OFFSET(CRONOPLE!$F$14,$M38,AV$13))))</f>
        <v>1000000000000</v>
      </c>
      <c r="AX38" s="212">
        <f ca="1">IF($D38&lt;&gt;"Serviço",0,IF(OR(AND(AUTOEVENTO="Manual",$M38=1),$M38&gt;(ROW(PLE.lastrow)-ROW(PLE.firstrow))),0,IF(OFFSET(PLE!$G$14,$M38,AX$13)="",10^12,OFFSET(PLE!$G$14,$M38,AX$13))))</f>
        <v>1000000000000</v>
      </c>
      <c r="AY38" s="212">
        <f ca="1">IF($D38&lt;&gt;"Serviço",0,IF(OR(AND(AUTOEVENTO="Manual",$M38=1),$M38&gt;(ROW(PLE.lastrow)-ROW(PLE.firstrow))),0,IF(OFFSET(PLE!$G$14,$M38,AY$13)="",10^12,OFFSET(PLE!$G$14,$M38,AY$13))))</f>
        <v>1000000000000</v>
      </c>
      <c r="AZ38" s="212">
        <f ca="1">IF($D38&lt;&gt;"Serviço",0,IF(OR(AND(AUTOEVENTO="Manual",$M38=1),$M38&gt;(ROW(PLE.lastrow)-ROW(PLE.firstrow))),0,IF(OFFSET(PLE!$G$14,$M38,AZ$13)="",10^12,OFFSET(PLE!$G$14,$M38,AZ$13))))</f>
        <v>1000000000000</v>
      </c>
      <c r="BA38" s="212">
        <f ca="1">IF($D38&lt;&gt;"Serviço",0,IF(OR(AND(AUTOEVENTO="Manual",$M38=1),$M38&gt;(ROW(PLE.lastrow)-ROW(PLE.firstrow))),0,IF(OFFSET(PLE!$G$14,$M38,BA$13)="",10^12,OFFSET(PLE!$G$14,$M38,BA$13))))</f>
        <v>1000000000000</v>
      </c>
      <c r="BB38" s="212">
        <f ca="1">IF($D38&lt;&gt;"Serviço",0,IF(OR(AND(AUTOEVENTO="Manual",$M38=1),$M38&gt;(ROW(PLE.lastrow)-ROW(PLE.firstrow))),0,IF(OFFSET(PLE!$G$14,$M38,BB$13)="",10^12,OFFSET(PLE!$G$14,$M38,BB$13))))</f>
        <v>1000000000000</v>
      </c>
      <c r="BC38" s="212">
        <f ca="1">IF($D38&lt;&gt;"Serviço",0,IF(OR(AND(AUTOEVENTO="Manual",$M38=1),$M38&gt;(ROW(PLE.lastrow)-ROW(PLE.firstrow))),0,IF(OFFSET(PLE!$G$14,$M38,BC$13)="",10^12,OFFSET(PLE!$G$14,$M38,BC$13))))</f>
        <v>1000000000000</v>
      </c>
      <c r="BD38" s="212">
        <f ca="1">IF($D38&lt;&gt;"Serviço",0,IF(OR(AND(AUTOEVENTO="Manual",$M38=1),$M38&gt;(ROW(PLE.lastrow)-ROW(PLE.firstrow))),0,IF(OFFSET(PLE!$G$14,$M38,BD$13)="",10^12,OFFSET(PLE!$G$14,$M38,BD$13))))</f>
        <v>1000000000000</v>
      </c>
      <c r="BE38" s="212">
        <f ca="1">IF($D38&lt;&gt;"Serviço",0,IF(OR(AND(AUTOEVENTO="Manual",$M38=1),$M38&gt;(ROW(PLE.lastrow)-ROW(PLE.firstrow))),0,IF(OFFSET(PLE!$G$14,$M38,BE$13)="",10^12,OFFSET(PLE!$G$14,$M38,BE$13))))</f>
        <v>1000000000000</v>
      </c>
      <c r="BF38" s="212">
        <f ca="1">IF($D38&lt;&gt;"Serviço",0,IF(OR(AND(AUTOEVENTO="Manual",$M38=1),$M38&gt;(ROW(PLE.lastrow)-ROW(PLE.firstrow))),0,IF(OFFSET(PLE!$G$14,$M38,BF$13)="",10^12,OFFSET(PLE!$G$14,$M38,BF$13))))</f>
        <v>1000000000000</v>
      </c>
      <c r="BG38" s="212">
        <f ca="1">IF($D38&lt;&gt;"Serviço",0,IF(OR(AND(AUTOEVENTO="Manual",$M38=1),$M38&gt;(ROW(PLE.lastrow)-ROW(PLE.firstrow))),0,IF(OFFSET(PLE!$G$14,$M38,BG$13)="",10^12,OFFSET(PLE!$G$14,$M38,BG$13))))</f>
        <v>1000000000000</v>
      </c>
    </row>
    <row r="39" spans="1:59" ht="25.5">
      <c r="A39" s="9" t="str">
        <f t="shared" ca="1" si="8"/>
        <v>22</v>
      </c>
      <c r="B39" s="9" t="str">
        <f ca="1">OFFSET(ORÇAMENTO!C$15,ROW(B39)-ROW(B$15),0)</f>
        <v>S</v>
      </c>
      <c r="C39" s="9" t="str">
        <f ca="1">OFFSET(ORÇAMENTO!L$15,ROW(C39)-ROW(C$15),0)</f>
        <v/>
      </c>
      <c r="D39" s="141" t="str">
        <f ca="1">OFFSET(ORÇAMENTO!N$15,ROW(D39)-ROW(D$15),0)</f>
        <v>Serviço</v>
      </c>
      <c r="E39" s="201" t="str">
        <f ca="1">OFFSET(ORÇAMENTO!O$15,ROW(E39)-ROW(E$15),0)</f>
        <v>-</v>
      </c>
      <c r="F39" s="202" t="str">
        <f ca="1">OFFSET(ORÇAMENTO!R$15,ROW(F39)-ROW(F$15),0)</f>
        <v>(abra o arquivo 'Referência 07-2024.xlsm)</v>
      </c>
      <c r="G39" s="203" t="str">
        <f ca="1">IF($D39&lt;&gt;"Serviço","",OFFSET(ORÇAMENTO!S$15,ROW(G39)-ROW(G$15),0))</f>
        <v>-</v>
      </c>
      <c r="H39" s="147">
        <f ca="1">IF($D39&lt;&gt;"Serviço",0,IF(ACOMPANHAMENTO="BM",ROUND(OFFSET(ORÇAMENTO!AJ$15,ROW(H39)-ROW(H$15),0),15-13*ORÇAMENTO!$AF$7),SUMPRODUCT(($Q$12:$AA$12&lt;&gt;"")*ROUND($Q39:$AA39,15-13*ORÇAMENTO!$AF$7))))</f>
        <v>1</v>
      </c>
      <c r="I39" s="645" t="s">
        <v>470</v>
      </c>
      <c r="K39" s="204"/>
      <c r="L39" s="205" t="s">
        <v>255</v>
      </c>
      <c r="M39" s="206">
        <f ca="1">IF($D39&lt;&gt;"Serviço","",IF(AUTOEVENTO="manual",$A39,IF(ISERROR(MATCH($A39,$A$15:OFFSET($A39,-1,0),0)),MAX($M$15:OFFSET(M39,-1,0))+1,INDEX($M$15:OFFSET(M39,-1,0),MATCH($A39,$A$15:OFFSET($A39,-1,0),0)))))</f>
        <v>6</v>
      </c>
      <c r="N39" s="207" t="str">
        <f ca="1">IF($D39&lt;&gt;"Serviço","",IF(AUTOEVENTO="Manual",IF($A39=0,"&lt;-- defina o número do agrupador",OFFSET(EVENTOS!$D$14,$A39,0)),OFFSET($F$15,$A39,0)))</f>
        <v>SINALIZAÇÃO VERTICAL</v>
      </c>
      <c r="O39" s="208"/>
      <c r="Q39" s="208"/>
      <c r="R39" s="209"/>
      <c r="S39" s="209"/>
      <c r="T39" s="209"/>
      <c r="U39" s="209"/>
      <c r="V39" s="209"/>
      <c r="W39" s="209"/>
      <c r="X39" s="209"/>
      <c r="Y39" s="209"/>
      <c r="Z39" s="210"/>
      <c r="AB39" s="626">
        <f ca="1">IF(AND($D39="Serviço",AB$12&lt;&gt;0,$H39&gt;0,OR(AUTOEVENTO&lt;&gt;"manual",$M39&lt;&gt;1)),IF(Import.TipoArredondamento&lt;&gt;"TransfereGOV",ROUND(OFFSET($P39,0,AB$13),15-13*ORÇAMENTO!$AF$7)/$H39*OFFSET(ORÇAMENTO!$X$15,ROW(AB39)-ROW(AB$15),0),ROUND(ROUND(OFFSET($P39,0,AB$13),15-13*ORÇAMENTO!$AF$7)*OFFSET(ORÇAMENTO!$W$15,ROW(AB39)-ROW(AB$15),0),15-13*ORÇAMENTO!$AF$11)),0)</f>
        <v>0</v>
      </c>
      <c r="AC39" s="627">
        <f ca="1">IF(AND($D39="Serviço",AC$12&lt;&gt;0,$H39&gt;0,OR(AUTOEVENTO&lt;&gt;"manual",$M39&lt;&gt;1)),IF(Import.TipoArredondamento&lt;&gt;"TransfereGOV",ROUND(OFFSET($P39,0,AC$13),15-13*ORÇAMENTO!$AF$7)/$H39*OFFSET(ORÇAMENTO!$X$15,ROW(AC39)-ROW(AC$15),0),ROUND(ROUND(OFFSET($P39,0,AC$13),15-13*ORÇAMENTO!$AF$7)*OFFSET(ORÇAMENTO!$W$15,ROW(AC39)-ROW(AC$15),0),15-13*ORÇAMENTO!$AF$11)),0)</f>
        <v>0</v>
      </c>
      <c r="AD39" s="627">
        <f ca="1">IF(AND($D39="Serviço",AD$12&lt;&gt;0,$H39&gt;0,OR(AUTOEVENTO&lt;&gt;"manual",$M39&lt;&gt;1)),IF(Import.TipoArredondamento&lt;&gt;"TransfereGOV",ROUND(OFFSET($P39,0,AD$13),15-13*ORÇAMENTO!$AF$7)/$H39*OFFSET(ORÇAMENTO!$X$15,ROW(AD39)-ROW(AD$15),0),ROUND(ROUND(OFFSET($P39,0,AD$13),15-13*ORÇAMENTO!$AF$7)*OFFSET(ORÇAMENTO!$W$15,ROW(AD39)-ROW(AD$15),0),15-13*ORÇAMENTO!$AF$11)),0)</f>
        <v>0</v>
      </c>
      <c r="AE39" s="627">
        <f ca="1">IF(AND($D39="Serviço",AE$12&lt;&gt;0,$H39&gt;0,OR(AUTOEVENTO&lt;&gt;"manual",$M39&lt;&gt;1)),IF(Import.TipoArredondamento&lt;&gt;"TransfereGOV",ROUND(OFFSET($P39,0,AE$13),15-13*ORÇAMENTO!$AF$7)/$H39*OFFSET(ORÇAMENTO!$X$15,ROW(AE39)-ROW(AE$15),0),ROUND(ROUND(OFFSET($P39,0,AE$13),15-13*ORÇAMENTO!$AF$7)*OFFSET(ORÇAMENTO!$W$15,ROW(AE39)-ROW(AE$15),0),15-13*ORÇAMENTO!$AF$11)),0)</f>
        <v>0</v>
      </c>
      <c r="AF39" s="627">
        <f ca="1">IF(AND($D39="Serviço",AF$12&lt;&gt;0,$H39&gt;0,OR(AUTOEVENTO&lt;&gt;"manual",$M39&lt;&gt;1)),IF(Import.TipoArredondamento&lt;&gt;"TransfereGOV",ROUND(OFFSET($P39,0,AF$13),15-13*ORÇAMENTO!$AF$7)/$H39*OFFSET(ORÇAMENTO!$X$15,ROW(AF39)-ROW(AF$15),0),ROUND(ROUND(OFFSET($P39,0,AF$13),15-13*ORÇAMENTO!$AF$7)*OFFSET(ORÇAMENTO!$W$15,ROW(AF39)-ROW(AF$15),0),15-13*ORÇAMENTO!$AF$11)),0)</f>
        <v>0</v>
      </c>
      <c r="AG39" s="627">
        <f ca="1">IF(AND($D39="Serviço",AG$12&lt;&gt;0,$H39&gt;0,OR(AUTOEVENTO&lt;&gt;"manual",$M39&lt;&gt;1)),IF(Import.TipoArredondamento&lt;&gt;"TransfereGOV",ROUND(OFFSET($P39,0,AG$13),15-13*ORÇAMENTO!$AF$7)/$H39*OFFSET(ORÇAMENTO!$X$15,ROW(AG39)-ROW(AG$15),0),ROUND(ROUND(OFFSET($P39,0,AG$13),15-13*ORÇAMENTO!$AF$7)*OFFSET(ORÇAMENTO!$W$15,ROW(AG39)-ROW(AG$15),0),15-13*ORÇAMENTO!$AF$11)),0)</f>
        <v>0</v>
      </c>
      <c r="AH39" s="627">
        <f ca="1">IF(AND($D39="Serviço",AH$12&lt;&gt;0,$H39&gt;0,OR(AUTOEVENTO&lt;&gt;"manual",$M39&lt;&gt;1)),IF(Import.TipoArredondamento&lt;&gt;"TransfereGOV",ROUND(OFFSET($P39,0,AH$13),15-13*ORÇAMENTO!$AF$7)/$H39*OFFSET(ORÇAMENTO!$X$15,ROW(AH39)-ROW(AH$15),0),ROUND(ROUND(OFFSET($P39,0,AH$13),15-13*ORÇAMENTO!$AF$7)*OFFSET(ORÇAMENTO!$W$15,ROW(AH39)-ROW(AH$15),0),15-13*ORÇAMENTO!$AF$11)),0)</f>
        <v>0</v>
      </c>
      <c r="AI39" s="627">
        <f ca="1">IF(AND($D39="Serviço",AI$12&lt;&gt;0,$H39&gt;0,OR(AUTOEVENTO&lt;&gt;"manual",$M39&lt;&gt;1)),IF(Import.TipoArredondamento&lt;&gt;"TransfereGOV",ROUND(OFFSET($P39,0,AI$13),15-13*ORÇAMENTO!$AF$7)/$H39*OFFSET(ORÇAMENTO!$X$15,ROW(AI39)-ROW(AI$15),0),ROUND(ROUND(OFFSET($P39,0,AI$13),15-13*ORÇAMENTO!$AF$7)*OFFSET(ORÇAMENTO!$W$15,ROW(AI39)-ROW(AI$15),0),15-13*ORÇAMENTO!$AF$11)),0)</f>
        <v>0</v>
      </c>
      <c r="AJ39" s="627">
        <f ca="1">IF(AND($D39="Serviço",AJ$12&lt;&gt;0,$H39&gt;0,OR(AUTOEVENTO&lt;&gt;"manual",$M39&lt;&gt;1)),IF(Import.TipoArredondamento&lt;&gt;"TransfereGOV",ROUND(OFFSET($P39,0,AJ$13),15-13*ORÇAMENTO!$AF$7)/$H39*OFFSET(ORÇAMENTO!$X$15,ROW(AJ39)-ROW(AJ$15),0),ROUND(ROUND(OFFSET($P39,0,AJ$13),15-13*ORÇAMENTO!$AF$7)*OFFSET(ORÇAMENTO!$W$15,ROW(AJ39)-ROW(AJ$15),0),15-13*ORÇAMENTO!$AF$11)),0)</f>
        <v>0</v>
      </c>
      <c r="AK39" s="628">
        <f ca="1">IF(AND($D39="Serviço",AK$12&lt;&gt;0,$H39&gt;0,OR(AUTOEVENTO&lt;&gt;"manual",$M39&lt;&gt;1)),IF(Import.TipoArredondamento&lt;&gt;"TransfereGOV",ROUND(OFFSET($P39,0,AK$13),15-13*ORÇAMENTO!$AF$7)/$H39*OFFSET(ORÇAMENTO!$X$15,ROW(AK39)-ROW(AK$15),0),ROUND(ROUND(OFFSET($P39,0,AK$13),15-13*ORÇAMENTO!$AF$7)*OFFSET(ORÇAMENTO!$W$15,ROW(AK39)-ROW(AK$15),0),15-13*ORÇAMENTO!$AF$11)),0)</f>
        <v>0</v>
      </c>
      <c r="AM39" s="211">
        <f ca="1">IF($D39&lt;&gt;"Serviço",0,IF(AND(AUTOEVENTO="Manual",$M39=1),0,IF(OFFSET(CRONOPLE!$F$14,$M39,AM$13)="",10^12,OFFSET(CRONOPLE!$F$14,$M39,AM$13))))</f>
        <v>1000000000000</v>
      </c>
      <c r="AN39" s="211">
        <f ca="1">IF($D39&lt;&gt;"Serviço",0,IF(AND(AUTOEVENTO="Manual",$M39=1),0,IF(OFFSET(CRONOPLE!$F$14,$M39,AN$13)="",10^12,OFFSET(CRONOPLE!$F$14,$M39,AN$13))))</f>
        <v>1000000000000</v>
      </c>
      <c r="AO39" s="211">
        <f ca="1">IF($D39&lt;&gt;"Serviço",0,IF(AND(AUTOEVENTO="Manual",$M39=1),0,IF(OFFSET(CRONOPLE!$F$14,$M39,AO$13)="",10^12,OFFSET(CRONOPLE!$F$14,$M39,AO$13))))</f>
        <v>1000000000000</v>
      </c>
      <c r="AP39" s="211">
        <f ca="1">IF($D39&lt;&gt;"Serviço",0,IF(AND(AUTOEVENTO="Manual",$M39=1),0,IF(OFFSET(CRONOPLE!$F$14,$M39,AP$13)="",10^12,OFFSET(CRONOPLE!$F$14,$M39,AP$13))))</f>
        <v>1000000000000</v>
      </c>
      <c r="AQ39" s="211">
        <f ca="1">IF($D39&lt;&gt;"Serviço",0,IF(AND(AUTOEVENTO="Manual",$M39=1),0,IF(OFFSET(CRONOPLE!$F$14,$M39,AQ$13)="",10^12,OFFSET(CRONOPLE!$F$14,$M39,AQ$13))))</f>
        <v>1000000000000</v>
      </c>
      <c r="AR39" s="211">
        <f ca="1">IF($D39&lt;&gt;"Serviço",0,IF(AND(AUTOEVENTO="Manual",$M39=1),0,IF(OFFSET(CRONOPLE!$F$14,$M39,AR$13)="",10^12,OFFSET(CRONOPLE!$F$14,$M39,AR$13))))</f>
        <v>1000000000000</v>
      </c>
      <c r="AS39" s="211">
        <f ca="1">IF($D39&lt;&gt;"Serviço",0,IF(AND(AUTOEVENTO="Manual",$M39=1),0,IF(OFFSET(CRONOPLE!$F$14,$M39,AS$13)="",10^12,OFFSET(CRONOPLE!$F$14,$M39,AS$13))))</f>
        <v>1000000000000</v>
      </c>
      <c r="AT39" s="211">
        <f ca="1">IF($D39&lt;&gt;"Serviço",0,IF(AND(AUTOEVENTO="Manual",$M39=1),0,IF(OFFSET(CRONOPLE!$F$14,$M39,AT$13)="",10^12,OFFSET(CRONOPLE!$F$14,$M39,AT$13))))</f>
        <v>1000000000000</v>
      </c>
      <c r="AU39" s="211">
        <f ca="1">IF($D39&lt;&gt;"Serviço",0,IF(AND(AUTOEVENTO="Manual",$M39=1),0,IF(OFFSET(CRONOPLE!$F$14,$M39,AU$13)="",10^12,OFFSET(CRONOPLE!$F$14,$M39,AU$13))))</f>
        <v>1000000000000</v>
      </c>
      <c r="AV39" s="211">
        <f ca="1">IF($D39&lt;&gt;"Serviço",0,IF(AND(AUTOEVENTO="Manual",$M39=1),0,IF(OFFSET(CRONOPLE!$F$14,$M39,AV$13)="",10^12,OFFSET(CRONOPLE!$F$14,$M39,AV$13))))</f>
        <v>1000000000000</v>
      </c>
      <c r="AX39" s="212">
        <f ca="1">IF($D39&lt;&gt;"Serviço",0,IF(OR(AND(AUTOEVENTO="Manual",$M39=1),$M39&gt;(ROW(PLE.lastrow)-ROW(PLE.firstrow))),0,IF(OFFSET(PLE!$G$14,$M39,AX$13)="",10^12,OFFSET(PLE!$G$14,$M39,AX$13))))</f>
        <v>1000000000000</v>
      </c>
      <c r="AY39" s="212">
        <f ca="1">IF($D39&lt;&gt;"Serviço",0,IF(OR(AND(AUTOEVENTO="Manual",$M39=1),$M39&gt;(ROW(PLE.lastrow)-ROW(PLE.firstrow))),0,IF(OFFSET(PLE!$G$14,$M39,AY$13)="",10^12,OFFSET(PLE!$G$14,$M39,AY$13))))</f>
        <v>1000000000000</v>
      </c>
      <c r="AZ39" s="212">
        <f ca="1">IF($D39&lt;&gt;"Serviço",0,IF(OR(AND(AUTOEVENTO="Manual",$M39=1),$M39&gt;(ROW(PLE.lastrow)-ROW(PLE.firstrow))),0,IF(OFFSET(PLE!$G$14,$M39,AZ$13)="",10^12,OFFSET(PLE!$G$14,$M39,AZ$13))))</f>
        <v>1000000000000</v>
      </c>
      <c r="BA39" s="212">
        <f ca="1">IF($D39&lt;&gt;"Serviço",0,IF(OR(AND(AUTOEVENTO="Manual",$M39=1),$M39&gt;(ROW(PLE.lastrow)-ROW(PLE.firstrow))),0,IF(OFFSET(PLE!$G$14,$M39,BA$13)="",10^12,OFFSET(PLE!$G$14,$M39,BA$13))))</f>
        <v>1000000000000</v>
      </c>
      <c r="BB39" s="212">
        <f ca="1">IF($D39&lt;&gt;"Serviço",0,IF(OR(AND(AUTOEVENTO="Manual",$M39=1),$M39&gt;(ROW(PLE.lastrow)-ROW(PLE.firstrow))),0,IF(OFFSET(PLE!$G$14,$M39,BB$13)="",10^12,OFFSET(PLE!$G$14,$M39,BB$13))))</f>
        <v>1000000000000</v>
      </c>
      <c r="BC39" s="212">
        <f ca="1">IF($D39&lt;&gt;"Serviço",0,IF(OR(AND(AUTOEVENTO="Manual",$M39=1),$M39&gt;(ROW(PLE.lastrow)-ROW(PLE.firstrow))),0,IF(OFFSET(PLE!$G$14,$M39,BC$13)="",10^12,OFFSET(PLE!$G$14,$M39,BC$13))))</f>
        <v>1000000000000</v>
      </c>
      <c r="BD39" s="212">
        <f ca="1">IF($D39&lt;&gt;"Serviço",0,IF(OR(AND(AUTOEVENTO="Manual",$M39=1),$M39&gt;(ROW(PLE.lastrow)-ROW(PLE.firstrow))),0,IF(OFFSET(PLE!$G$14,$M39,BD$13)="",10^12,OFFSET(PLE!$G$14,$M39,BD$13))))</f>
        <v>1000000000000</v>
      </c>
      <c r="BE39" s="212">
        <f ca="1">IF($D39&lt;&gt;"Serviço",0,IF(OR(AND(AUTOEVENTO="Manual",$M39=1),$M39&gt;(ROW(PLE.lastrow)-ROW(PLE.firstrow))),0,IF(OFFSET(PLE!$G$14,$M39,BE$13)="",10^12,OFFSET(PLE!$G$14,$M39,BE$13))))</f>
        <v>1000000000000</v>
      </c>
      <c r="BF39" s="212">
        <f ca="1">IF($D39&lt;&gt;"Serviço",0,IF(OR(AND(AUTOEVENTO="Manual",$M39=1),$M39&gt;(ROW(PLE.lastrow)-ROW(PLE.firstrow))),0,IF(OFFSET(PLE!$G$14,$M39,BF$13)="",10^12,OFFSET(PLE!$G$14,$M39,BF$13))))</f>
        <v>1000000000000</v>
      </c>
      <c r="BG39" s="212">
        <f ca="1">IF($D39&lt;&gt;"Serviço",0,IF(OR(AND(AUTOEVENTO="Manual",$M39=1),$M39&gt;(ROW(PLE.lastrow)-ROW(PLE.firstrow))),0,IF(OFFSET(PLE!$G$14,$M39,BG$13)="",10^12,OFFSET(PLE!$G$14,$M39,BG$13))))</f>
        <v>1000000000000</v>
      </c>
    </row>
    <row r="40" spans="1:59" ht="38.25">
      <c r="A40" s="9" t="str">
        <f ca="1">IF(AUTOEVENTO="Manual",IF(K40&lt;&gt;"",MIN(VALUE(LEFT(K40,FIND(".",K40)-1)),COUNTA(EVENTOS.Lista)),0),IF(OR($B40&gt;AUTOEVENTO,$B40="S",$B40=0),SUBSTITUTE(OFFSET($A40,-1,0),IF($D40="Serviço",".",""),""),ROW(A40)-ROW($A$15)&amp;"."))</f>
        <v>22</v>
      </c>
      <c r="B40" s="9" t="str">
        <f ca="1">OFFSET(ORÇAMENTO!C$15,ROW(B40)-ROW(B$15),0)</f>
        <v>S</v>
      </c>
      <c r="C40" s="9" t="str">
        <f ca="1">OFFSET(ORÇAMENTO!L$15,ROW(C40)-ROW(C$15),0)</f>
        <v/>
      </c>
      <c r="D40" s="141" t="str">
        <f ca="1">OFFSET(ORÇAMENTO!N$15,ROW(D40)-ROW(D$15),0)</f>
        <v>Serviço</v>
      </c>
      <c r="E40" s="201" t="str">
        <f ca="1">OFFSET(ORÇAMENTO!O$15,ROW(E40)-ROW(E$15),0)</f>
        <v>-</v>
      </c>
      <c r="F40" s="202" t="str">
        <f ca="1">OFFSET(ORÇAMENTO!R$15,ROW(F40)-ROW(F$15),0)</f>
        <v>(abra o arquivo 'Referência 07-2024.xlsm)</v>
      </c>
      <c r="G40" s="203" t="str">
        <f ca="1">IF($D40&lt;&gt;"Serviço","",OFFSET(ORÇAMENTO!S$15,ROW(G40)-ROW(G$15),0))</f>
        <v>-</v>
      </c>
      <c r="H40" s="147">
        <f ca="1">IF($D40&lt;&gt;"Serviço",0,IF(ACOMPANHAMENTO="BM",ROUND(OFFSET(ORÇAMENTO!AJ$15,ROW(H40)-ROW(H$15),0),15-13*ORÇAMENTO!$AF$7),SUMPRODUCT(($Q$12:$AA$12&lt;&gt;"")*ROUND($Q40:$AA40,15-13*ORÇAMENTO!$AF$7))))</f>
        <v>4</v>
      </c>
      <c r="I40" s="645" t="s">
        <v>472</v>
      </c>
      <c r="K40" s="204"/>
      <c r="L40" s="205" t="s">
        <v>255</v>
      </c>
      <c r="M40" s="206">
        <f ca="1">IF($D40&lt;&gt;"Serviço","",IF(AUTOEVENTO="manual",$A40,IF(ISERROR(MATCH($A40,$A$15:OFFSET($A40,-1,0),0)),MAX($M$15:OFFSET(M40,-1,0))+1,INDEX($M$15:OFFSET(M40,-1,0),MATCH($A40,$A$15:OFFSET($A40,-1,0),0)))))</f>
        <v>6</v>
      </c>
      <c r="N40" s="207" t="str">
        <f ca="1">IF($D40&lt;&gt;"Serviço","",IF(AUTOEVENTO="Manual",IF($A40=0,"&lt;-- defina o número do agrupador",OFFSET(EVENTOS!$D$14,$A40,0)),OFFSET($F$15,$A40,0)))</f>
        <v>SINALIZAÇÃO VERTICAL</v>
      </c>
      <c r="O40" s="208"/>
      <c r="Q40" s="208"/>
      <c r="R40" s="209"/>
      <c r="S40" s="209"/>
      <c r="T40" s="209"/>
      <c r="U40" s="209"/>
      <c r="V40" s="209"/>
      <c r="W40" s="209"/>
      <c r="X40" s="209"/>
      <c r="Y40" s="209"/>
      <c r="Z40" s="210"/>
      <c r="AB40" s="626">
        <f ca="1">IF(AND($D40="Serviço",AB$12&lt;&gt;0,$H40&gt;0,OR(AUTOEVENTO&lt;&gt;"manual",$M40&lt;&gt;1)),IF(Import.TipoArredondamento&lt;&gt;"TransfereGOV",ROUND(OFFSET($P40,0,AB$13),15-13*ORÇAMENTO!$AF$7)/$H40*OFFSET(ORÇAMENTO!$X$15,ROW(AB40)-ROW(AB$15),0),ROUND(ROUND(OFFSET($P40,0,AB$13),15-13*ORÇAMENTO!$AF$7)*OFFSET(ORÇAMENTO!$W$15,ROW(AB40)-ROW(AB$15),0),15-13*ORÇAMENTO!$AF$11)),0)</f>
        <v>0</v>
      </c>
      <c r="AC40" s="627">
        <f ca="1">IF(AND($D40="Serviço",AC$12&lt;&gt;0,$H40&gt;0,OR(AUTOEVENTO&lt;&gt;"manual",$M40&lt;&gt;1)),IF(Import.TipoArredondamento&lt;&gt;"TransfereGOV",ROUND(OFFSET($P40,0,AC$13),15-13*ORÇAMENTO!$AF$7)/$H40*OFFSET(ORÇAMENTO!$X$15,ROW(AC40)-ROW(AC$15),0),ROUND(ROUND(OFFSET($P40,0,AC$13),15-13*ORÇAMENTO!$AF$7)*OFFSET(ORÇAMENTO!$W$15,ROW(AC40)-ROW(AC$15),0),15-13*ORÇAMENTO!$AF$11)),0)</f>
        <v>0</v>
      </c>
      <c r="AD40" s="627">
        <f ca="1">IF(AND($D40="Serviço",AD$12&lt;&gt;0,$H40&gt;0,OR(AUTOEVENTO&lt;&gt;"manual",$M40&lt;&gt;1)),IF(Import.TipoArredondamento&lt;&gt;"TransfereGOV",ROUND(OFFSET($P40,0,AD$13),15-13*ORÇAMENTO!$AF$7)/$H40*OFFSET(ORÇAMENTO!$X$15,ROW(AD40)-ROW(AD$15),0),ROUND(ROUND(OFFSET($P40,0,AD$13),15-13*ORÇAMENTO!$AF$7)*OFFSET(ORÇAMENTO!$W$15,ROW(AD40)-ROW(AD$15),0),15-13*ORÇAMENTO!$AF$11)),0)</f>
        <v>0</v>
      </c>
      <c r="AE40" s="627">
        <f ca="1">IF(AND($D40="Serviço",AE$12&lt;&gt;0,$H40&gt;0,OR(AUTOEVENTO&lt;&gt;"manual",$M40&lt;&gt;1)),IF(Import.TipoArredondamento&lt;&gt;"TransfereGOV",ROUND(OFFSET($P40,0,AE$13),15-13*ORÇAMENTO!$AF$7)/$H40*OFFSET(ORÇAMENTO!$X$15,ROW(AE40)-ROW(AE$15),0),ROUND(ROUND(OFFSET($P40,0,AE$13),15-13*ORÇAMENTO!$AF$7)*OFFSET(ORÇAMENTO!$W$15,ROW(AE40)-ROW(AE$15),0),15-13*ORÇAMENTO!$AF$11)),0)</f>
        <v>0</v>
      </c>
      <c r="AF40" s="627">
        <f ca="1">IF(AND($D40="Serviço",AF$12&lt;&gt;0,$H40&gt;0,OR(AUTOEVENTO&lt;&gt;"manual",$M40&lt;&gt;1)),IF(Import.TipoArredondamento&lt;&gt;"TransfereGOV",ROUND(OFFSET($P40,0,AF$13),15-13*ORÇAMENTO!$AF$7)/$H40*OFFSET(ORÇAMENTO!$X$15,ROW(AF40)-ROW(AF$15),0),ROUND(ROUND(OFFSET($P40,0,AF$13),15-13*ORÇAMENTO!$AF$7)*OFFSET(ORÇAMENTO!$W$15,ROW(AF40)-ROW(AF$15),0),15-13*ORÇAMENTO!$AF$11)),0)</f>
        <v>0</v>
      </c>
      <c r="AG40" s="627">
        <f ca="1">IF(AND($D40="Serviço",AG$12&lt;&gt;0,$H40&gt;0,OR(AUTOEVENTO&lt;&gt;"manual",$M40&lt;&gt;1)),IF(Import.TipoArredondamento&lt;&gt;"TransfereGOV",ROUND(OFFSET($P40,0,AG$13),15-13*ORÇAMENTO!$AF$7)/$H40*OFFSET(ORÇAMENTO!$X$15,ROW(AG40)-ROW(AG$15),0),ROUND(ROUND(OFFSET($P40,0,AG$13),15-13*ORÇAMENTO!$AF$7)*OFFSET(ORÇAMENTO!$W$15,ROW(AG40)-ROW(AG$15),0),15-13*ORÇAMENTO!$AF$11)),0)</f>
        <v>0</v>
      </c>
      <c r="AH40" s="627">
        <f ca="1">IF(AND($D40="Serviço",AH$12&lt;&gt;0,$H40&gt;0,OR(AUTOEVENTO&lt;&gt;"manual",$M40&lt;&gt;1)),IF(Import.TipoArredondamento&lt;&gt;"TransfereGOV",ROUND(OFFSET($P40,0,AH$13),15-13*ORÇAMENTO!$AF$7)/$H40*OFFSET(ORÇAMENTO!$X$15,ROW(AH40)-ROW(AH$15),0),ROUND(ROUND(OFFSET($P40,0,AH$13),15-13*ORÇAMENTO!$AF$7)*OFFSET(ORÇAMENTO!$W$15,ROW(AH40)-ROW(AH$15),0),15-13*ORÇAMENTO!$AF$11)),0)</f>
        <v>0</v>
      </c>
      <c r="AI40" s="627">
        <f ca="1">IF(AND($D40="Serviço",AI$12&lt;&gt;0,$H40&gt;0,OR(AUTOEVENTO&lt;&gt;"manual",$M40&lt;&gt;1)),IF(Import.TipoArredondamento&lt;&gt;"TransfereGOV",ROUND(OFFSET($P40,0,AI$13),15-13*ORÇAMENTO!$AF$7)/$H40*OFFSET(ORÇAMENTO!$X$15,ROW(AI40)-ROW(AI$15),0),ROUND(ROUND(OFFSET($P40,0,AI$13),15-13*ORÇAMENTO!$AF$7)*OFFSET(ORÇAMENTO!$W$15,ROW(AI40)-ROW(AI$15),0),15-13*ORÇAMENTO!$AF$11)),0)</f>
        <v>0</v>
      </c>
      <c r="AJ40" s="627">
        <f ca="1">IF(AND($D40="Serviço",AJ$12&lt;&gt;0,$H40&gt;0,OR(AUTOEVENTO&lt;&gt;"manual",$M40&lt;&gt;1)),IF(Import.TipoArredondamento&lt;&gt;"TransfereGOV",ROUND(OFFSET($P40,0,AJ$13),15-13*ORÇAMENTO!$AF$7)/$H40*OFFSET(ORÇAMENTO!$X$15,ROW(AJ40)-ROW(AJ$15),0),ROUND(ROUND(OFFSET($P40,0,AJ$13),15-13*ORÇAMENTO!$AF$7)*OFFSET(ORÇAMENTO!$W$15,ROW(AJ40)-ROW(AJ$15),0),15-13*ORÇAMENTO!$AF$11)),0)</f>
        <v>0</v>
      </c>
      <c r="AK40" s="628">
        <f ca="1">IF(AND($D40="Serviço",AK$12&lt;&gt;0,$H40&gt;0,OR(AUTOEVENTO&lt;&gt;"manual",$M40&lt;&gt;1)),IF(Import.TipoArredondamento&lt;&gt;"TransfereGOV",ROUND(OFFSET($P40,0,AK$13),15-13*ORÇAMENTO!$AF$7)/$H40*OFFSET(ORÇAMENTO!$X$15,ROW(AK40)-ROW(AK$15),0),ROUND(ROUND(OFFSET($P40,0,AK$13),15-13*ORÇAMENTO!$AF$7)*OFFSET(ORÇAMENTO!$W$15,ROW(AK40)-ROW(AK$15),0),15-13*ORÇAMENTO!$AF$11)),0)</f>
        <v>0</v>
      </c>
      <c r="AM40" s="211">
        <f ca="1">IF($D40&lt;&gt;"Serviço",0,IF(AND(AUTOEVENTO="Manual",$M40=1),0,IF(OFFSET(CRONOPLE!$F$14,$M40,AM$13)="",10^12,OFFSET(CRONOPLE!$F$14,$M40,AM$13))))</f>
        <v>1000000000000</v>
      </c>
      <c r="AN40" s="211">
        <f ca="1">IF($D40&lt;&gt;"Serviço",0,IF(AND(AUTOEVENTO="Manual",$M40=1),0,IF(OFFSET(CRONOPLE!$F$14,$M40,AN$13)="",10^12,OFFSET(CRONOPLE!$F$14,$M40,AN$13))))</f>
        <v>1000000000000</v>
      </c>
      <c r="AO40" s="211">
        <f ca="1">IF($D40&lt;&gt;"Serviço",0,IF(AND(AUTOEVENTO="Manual",$M40=1),0,IF(OFFSET(CRONOPLE!$F$14,$M40,AO$13)="",10^12,OFFSET(CRONOPLE!$F$14,$M40,AO$13))))</f>
        <v>1000000000000</v>
      </c>
      <c r="AP40" s="211">
        <f ca="1">IF($D40&lt;&gt;"Serviço",0,IF(AND(AUTOEVENTO="Manual",$M40=1),0,IF(OFFSET(CRONOPLE!$F$14,$M40,AP$13)="",10^12,OFFSET(CRONOPLE!$F$14,$M40,AP$13))))</f>
        <v>1000000000000</v>
      </c>
      <c r="AQ40" s="211">
        <f ca="1">IF($D40&lt;&gt;"Serviço",0,IF(AND(AUTOEVENTO="Manual",$M40=1),0,IF(OFFSET(CRONOPLE!$F$14,$M40,AQ$13)="",10^12,OFFSET(CRONOPLE!$F$14,$M40,AQ$13))))</f>
        <v>1000000000000</v>
      </c>
      <c r="AR40" s="211">
        <f ca="1">IF($D40&lt;&gt;"Serviço",0,IF(AND(AUTOEVENTO="Manual",$M40=1),0,IF(OFFSET(CRONOPLE!$F$14,$M40,AR$13)="",10^12,OFFSET(CRONOPLE!$F$14,$M40,AR$13))))</f>
        <v>1000000000000</v>
      </c>
      <c r="AS40" s="211">
        <f ca="1">IF($D40&lt;&gt;"Serviço",0,IF(AND(AUTOEVENTO="Manual",$M40=1),0,IF(OFFSET(CRONOPLE!$F$14,$M40,AS$13)="",10^12,OFFSET(CRONOPLE!$F$14,$M40,AS$13))))</f>
        <v>1000000000000</v>
      </c>
      <c r="AT40" s="211">
        <f ca="1">IF($D40&lt;&gt;"Serviço",0,IF(AND(AUTOEVENTO="Manual",$M40=1),0,IF(OFFSET(CRONOPLE!$F$14,$M40,AT$13)="",10^12,OFFSET(CRONOPLE!$F$14,$M40,AT$13))))</f>
        <v>1000000000000</v>
      </c>
      <c r="AU40" s="211">
        <f ca="1">IF($D40&lt;&gt;"Serviço",0,IF(AND(AUTOEVENTO="Manual",$M40=1),0,IF(OFFSET(CRONOPLE!$F$14,$M40,AU$13)="",10^12,OFFSET(CRONOPLE!$F$14,$M40,AU$13))))</f>
        <v>1000000000000</v>
      </c>
      <c r="AV40" s="211">
        <f ca="1">IF($D40&lt;&gt;"Serviço",0,IF(AND(AUTOEVENTO="Manual",$M40=1),0,IF(OFFSET(CRONOPLE!$F$14,$M40,AV$13)="",10^12,OFFSET(CRONOPLE!$F$14,$M40,AV$13))))</f>
        <v>1000000000000</v>
      </c>
      <c r="AX40" s="212">
        <f ca="1">IF($D40&lt;&gt;"Serviço",0,IF(OR(AND(AUTOEVENTO="Manual",$M40=1),$M40&gt;(ROW(PLE.lastrow)-ROW(PLE.firstrow))),0,IF(OFFSET(PLE!$G$14,$M40,AX$13)="",10^12,OFFSET(PLE!$G$14,$M40,AX$13))))</f>
        <v>1000000000000</v>
      </c>
      <c r="AY40" s="212">
        <f ca="1">IF($D40&lt;&gt;"Serviço",0,IF(OR(AND(AUTOEVENTO="Manual",$M40=1),$M40&gt;(ROW(PLE.lastrow)-ROW(PLE.firstrow))),0,IF(OFFSET(PLE!$G$14,$M40,AY$13)="",10^12,OFFSET(PLE!$G$14,$M40,AY$13))))</f>
        <v>1000000000000</v>
      </c>
      <c r="AZ40" s="212">
        <f ca="1">IF($D40&lt;&gt;"Serviço",0,IF(OR(AND(AUTOEVENTO="Manual",$M40=1),$M40&gt;(ROW(PLE.lastrow)-ROW(PLE.firstrow))),0,IF(OFFSET(PLE!$G$14,$M40,AZ$13)="",10^12,OFFSET(PLE!$G$14,$M40,AZ$13))))</f>
        <v>1000000000000</v>
      </c>
      <c r="BA40" s="212">
        <f ca="1">IF($D40&lt;&gt;"Serviço",0,IF(OR(AND(AUTOEVENTO="Manual",$M40=1),$M40&gt;(ROW(PLE.lastrow)-ROW(PLE.firstrow))),0,IF(OFFSET(PLE!$G$14,$M40,BA$13)="",10^12,OFFSET(PLE!$G$14,$M40,BA$13))))</f>
        <v>1000000000000</v>
      </c>
      <c r="BB40" s="212">
        <f ca="1">IF($D40&lt;&gt;"Serviço",0,IF(OR(AND(AUTOEVENTO="Manual",$M40=1),$M40&gt;(ROW(PLE.lastrow)-ROW(PLE.firstrow))),0,IF(OFFSET(PLE!$G$14,$M40,BB$13)="",10^12,OFFSET(PLE!$G$14,$M40,BB$13))))</f>
        <v>1000000000000</v>
      </c>
      <c r="BC40" s="212">
        <f ca="1">IF($D40&lt;&gt;"Serviço",0,IF(OR(AND(AUTOEVENTO="Manual",$M40=1),$M40&gt;(ROW(PLE.lastrow)-ROW(PLE.firstrow))),0,IF(OFFSET(PLE!$G$14,$M40,BC$13)="",10^12,OFFSET(PLE!$G$14,$M40,BC$13))))</f>
        <v>1000000000000</v>
      </c>
      <c r="BD40" s="212">
        <f ca="1">IF($D40&lt;&gt;"Serviço",0,IF(OR(AND(AUTOEVENTO="Manual",$M40=1),$M40&gt;(ROW(PLE.lastrow)-ROW(PLE.firstrow))),0,IF(OFFSET(PLE!$G$14,$M40,BD$13)="",10^12,OFFSET(PLE!$G$14,$M40,BD$13))))</f>
        <v>1000000000000</v>
      </c>
      <c r="BE40" s="212">
        <f ca="1">IF($D40&lt;&gt;"Serviço",0,IF(OR(AND(AUTOEVENTO="Manual",$M40=1),$M40&gt;(ROW(PLE.lastrow)-ROW(PLE.firstrow))),0,IF(OFFSET(PLE!$G$14,$M40,BE$13)="",10^12,OFFSET(PLE!$G$14,$M40,BE$13))))</f>
        <v>1000000000000</v>
      </c>
      <c r="BF40" s="212">
        <f ca="1">IF($D40&lt;&gt;"Serviço",0,IF(OR(AND(AUTOEVENTO="Manual",$M40=1),$M40&gt;(ROW(PLE.lastrow)-ROW(PLE.firstrow))),0,IF(OFFSET(PLE!$G$14,$M40,BF$13)="",10^12,OFFSET(PLE!$G$14,$M40,BF$13))))</f>
        <v>1000000000000</v>
      </c>
      <c r="BG40" s="212">
        <f ca="1">IF($D40&lt;&gt;"Serviço",0,IF(OR(AND(AUTOEVENTO="Manual",$M40=1),$M40&gt;(ROW(PLE.lastrow)-ROW(PLE.firstrow))),0,IF(OFFSET(PLE!$G$14,$M40,BG$13)="",10^12,OFFSET(PLE!$G$14,$M40,BG$13))))</f>
        <v>1000000000000</v>
      </c>
    </row>
    <row r="41" spans="1:59" ht="12.75">
      <c r="A41" s="9" t="str">
        <f ca="1">IF(AUTOEVENTO="Manual",IF(K41&lt;&gt;"",MIN(VALUE(LEFT(K41,FIND(".",K41)-1)),COUNTA(EVENTOS.Lista)),0),IF(OR($B41&gt;AUTOEVENTO,$B41="S",$B41=0),SUBSTITUTE(OFFSET($A41,-1,0),IF($D41="Serviço",".",""),""),ROW(A41)-ROW($A$15)&amp;"."))</f>
        <v>26.</v>
      </c>
      <c r="B41" s="9">
        <f ca="1">OFFSET(ORÇAMENTO!C$15,ROW(B41)-ROW(B$15),0)</f>
        <v>2</v>
      </c>
      <c r="C41" s="9" t="str">
        <f ca="1">OFFSET(ORÇAMENTO!L$15,ROW(C41)-ROW(C$15),0)</f>
        <v>F</v>
      </c>
      <c r="D41" s="141" t="str">
        <f ca="1">OFFSET(ORÇAMENTO!N$15,ROW(D41)-ROW(D$15),0)</f>
        <v>Nível 2</v>
      </c>
      <c r="E41" s="201" t="str">
        <f ca="1">OFFSET(ORÇAMENTO!O$15,ROW(E41)-ROW(E$15),0)</f>
        <v>1.6.</v>
      </c>
      <c r="F41" s="202" t="str">
        <f ca="1">OFFSET(ORÇAMENTO!R$15,ROW(F41)-ROW(F$15),0)</f>
        <v>SINALIZAÇÃO HORIZONTAL</v>
      </c>
      <c r="G41" s="203" t="str">
        <f ca="1">IF($D41&lt;&gt;"Serviço","",OFFSET(ORÇAMENTO!S$15,ROW(G41)-ROW(G$15),0))</f>
        <v/>
      </c>
      <c r="H41" s="147">
        <f ca="1">IF($D41&lt;&gt;"Serviço",0,IF(ACOMPANHAMENTO="BM",ROUND(OFFSET(ORÇAMENTO!AJ$15,ROW(H41)-ROW(H$15),0),15-13*ORÇAMENTO!$AF$7),SUMPRODUCT(($Q$12:$AA$12&lt;&gt;"")*ROUND($Q41:$AA41,15-13*ORÇAMENTO!$AF$7))))</f>
        <v>0</v>
      </c>
      <c r="I41" s="645"/>
      <c r="K41" s="204"/>
      <c r="L41" s="205" t="s">
        <v>255</v>
      </c>
      <c r="M41" s="206" t="str">
        <f ca="1">IF($D41&lt;&gt;"Serviço","",IF(AUTOEVENTO="manual",$A41,IF(ISERROR(MATCH($A41,$A$15:OFFSET($A41,-1,0),0)),MAX($M$15:OFFSET(M41,-1,0))+1,INDEX($M$15:OFFSET(M41,-1,0),MATCH($A41,$A$15:OFFSET($A41,-1,0),0)))))</f>
        <v/>
      </c>
      <c r="N41" s="207" t="str">
        <f ca="1">IF($D41&lt;&gt;"Serviço","",IF(AUTOEVENTO="Manual",IF($A41=0,"&lt;-- defina o número do agrupador",OFFSET(EVENTOS!$D$14,$A41,0)),OFFSET($F$15,$A41,0)))</f>
        <v/>
      </c>
      <c r="O41" s="208"/>
      <c r="Q41" s="208"/>
      <c r="R41" s="209"/>
      <c r="S41" s="209"/>
      <c r="T41" s="209"/>
      <c r="U41" s="209"/>
      <c r="V41" s="209"/>
      <c r="W41" s="209"/>
      <c r="X41" s="209"/>
      <c r="Y41" s="209"/>
      <c r="Z41" s="210"/>
      <c r="AB41" s="626">
        <f ca="1">IF(AND($D41="Serviço",AB$12&lt;&gt;0,$H41&gt;0,OR(AUTOEVENTO&lt;&gt;"manual",$M41&lt;&gt;1)),IF(Import.TipoArredondamento&lt;&gt;"TransfereGOV",ROUND(OFFSET($P41,0,AB$13),15-13*ORÇAMENTO!$AF$7)/$H41*OFFSET(ORÇAMENTO!$X$15,ROW(AB41)-ROW(AB$15),0),ROUND(ROUND(OFFSET($P41,0,AB$13),15-13*ORÇAMENTO!$AF$7)*OFFSET(ORÇAMENTO!$W$15,ROW(AB41)-ROW(AB$15),0),15-13*ORÇAMENTO!$AF$11)),0)</f>
        <v>0</v>
      </c>
      <c r="AC41" s="627">
        <f ca="1">IF(AND($D41="Serviço",AC$12&lt;&gt;0,$H41&gt;0,OR(AUTOEVENTO&lt;&gt;"manual",$M41&lt;&gt;1)),IF(Import.TipoArredondamento&lt;&gt;"TransfereGOV",ROUND(OFFSET($P41,0,AC$13),15-13*ORÇAMENTO!$AF$7)/$H41*OFFSET(ORÇAMENTO!$X$15,ROW(AC41)-ROW(AC$15),0),ROUND(ROUND(OFFSET($P41,0,AC$13),15-13*ORÇAMENTO!$AF$7)*OFFSET(ORÇAMENTO!$W$15,ROW(AC41)-ROW(AC$15),0),15-13*ORÇAMENTO!$AF$11)),0)</f>
        <v>0</v>
      </c>
      <c r="AD41" s="627">
        <f ca="1">IF(AND($D41="Serviço",AD$12&lt;&gt;0,$H41&gt;0,OR(AUTOEVENTO&lt;&gt;"manual",$M41&lt;&gt;1)),IF(Import.TipoArredondamento&lt;&gt;"TransfereGOV",ROUND(OFFSET($P41,0,AD$13),15-13*ORÇAMENTO!$AF$7)/$H41*OFFSET(ORÇAMENTO!$X$15,ROW(AD41)-ROW(AD$15),0),ROUND(ROUND(OFFSET($P41,0,AD$13),15-13*ORÇAMENTO!$AF$7)*OFFSET(ORÇAMENTO!$W$15,ROW(AD41)-ROW(AD$15),0),15-13*ORÇAMENTO!$AF$11)),0)</f>
        <v>0</v>
      </c>
      <c r="AE41" s="627">
        <f ca="1">IF(AND($D41="Serviço",AE$12&lt;&gt;0,$H41&gt;0,OR(AUTOEVENTO&lt;&gt;"manual",$M41&lt;&gt;1)),IF(Import.TipoArredondamento&lt;&gt;"TransfereGOV",ROUND(OFFSET($P41,0,AE$13),15-13*ORÇAMENTO!$AF$7)/$H41*OFFSET(ORÇAMENTO!$X$15,ROW(AE41)-ROW(AE$15),0),ROUND(ROUND(OFFSET($P41,0,AE$13),15-13*ORÇAMENTO!$AF$7)*OFFSET(ORÇAMENTO!$W$15,ROW(AE41)-ROW(AE$15),0),15-13*ORÇAMENTO!$AF$11)),0)</f>
        <v>0</v>
      </c>
      <c r="AF41" s="627">
        <f ca="1">IF(AND($D41="Serviço",AF$12&lt;&gt;0,$H41&gt;0,OR(AUTOEVENTO&lt;&gt;"manual",$M41&lt;&gt;1)),IF(Import.TipoArredondamento&lt;&gt;"TransfereGOV",ROUND(OFFSET($P41,0,AF$13),15-13*ORÇAMENTO!$AF$7)/$H41*OFFSET(ORÇAMENTO!$X$15,ROW(AF41)-ROW(AF$15),0),ROUND(ROUND(OFFSET($P41,0,AF$13),15-13*ORÇAMENTO!$AF$7)*OFFSET(ORÇAMENTO!$W$15,ROW(AF41)-ROW(AF$15),0),15-13*ORÇAMENTO!$AF$11)),0)</f>
        <v>0</v>
      </c>
      <c r="AG41" s="627">
        <f ca="1">IF(AND($D41="Serviço",AG$12&lt;&gt;0,$H41&gt;0,OR(AUTOEVENTO&lt;&gt;"manual",$M41&lt;&gt;1)),IF(Import.TipoArredondamento&lt;&gt;"TransfereGOV",ROUND(OFFSET($P41,0,AG$13),15-13*ORÇAMENTO!$AF$7)/$H41*OFFSET(ORÇAMENTO!$X$15,ROW(AG41)-ROW(AG$15),0),ROUND(ROUND(OFFSET($P41,0,AG$13),15-13*ORÇAMENTO!$AF$7)*OFFSET(ORÇAMENTO!$W$15,ROW(AG41)-ROW(AG$15),0),15-13*ORÇAMENTO!$AF$11)),0)</f>
        <v>0</v>
      </c>
      <c r="AH41" s="627">
        <f ca="1">IF(AND($D41="Serviço",AH$12&lt;&gt;0,$H41&gt;0,OR(AUTOEVENTO&lt;&gt;"manual",$M41&lt;&gt;1)),IF(Import.TipoArredondamento&lt;&gt;"TransfereGOV",ROUND(OFFSET($P41,0,AH$13),15-13*ORÇAMENTO!$AF$7)/$H41*OFFSET(ORÇAMENTO!$X$15,ROW(AH41)-ROW(AH$15),0),ROUND(ROUND(OFFSET($P41,0,AH$13),15-13*ORÇAMENTO!$AF$7)*OFFSET(ORÇAMENTO!$W$15,ROW(AH41)-ROW(AH$15),0),15-13*ORÇAMENTO!$AF$11)),0)</f>
        <v>0</v>
      </c>
      <c r="AI41" s="627">
        <f ca="1">IF(AND($D41="Serviço",AI$12&lt;&gt;0,$H41&gt;0,OR(AUTOEVENTO&lt;&gt;"manual",$M41&lt;&gt;1)),IF(Import.TipoArredondamento&lt;&gt;"TransfereGOV",ROUND(OFFSET($P41,0,AI$13),15-13*ORÇAMENTO!$AF$7)/$H41*OFFSET(ORÇAMENTO!$X$15,ROW(AI41)-ROW(AI$15),0),ROUND(ROUND(OFFSET($P41,0,AI$13),15-13*ORÇAMENTO!$AF$7)*OFFSET(ORÇAMENTO!$W$15,ROW(AI41)-ROW(AI$15),0),15-13*ORÇAMENTO!$AF$11)),0)</f>
        <v>0</v>
      </c>
      <c r="AJ41" s="627">
        <f ca="1">IF(AND($D41="Serviço",AJ$12&lt;&gt;0,$H41&gt;0,OR(AUTOEVENTO&lt;&gt;"manual",$M41&lt;&gt;1)),IF(Import.TipoArredondamento&lt;&gt;"TransfereGOV",ROUND(OFFSET($P41,0,AJ$13),15-13*ORÇAMENTO!$AF$7)/$H41*OFFSET(ORÇAMENTO!$X$15,ROW(AJ41)-ROW(AJ$15),0),ROUND(ROUND(OFFSET($P41,0,AJ$13),15-13*ORÇAMENTO!$AF$7)*OFFSET(ORÇAMENTO!$W$15,ROW(AJ41)-ROW(AJ$15),0),15-13*ORÇAMENTO!$AF$11)),0)</f>
        <v>0</v>
      </c>
      <c r="AK41" s="628">
        <f ca="1">IF(AND($D41="Serviço",AK$12&lt;&gt;0,$H41&gt;0,OR(AUTOEVENTO&lt;&gt;"manual",$M41&lt;&gt;1)),IF(Import.TipoArredondamento&lt;&gt;"TransfereGOV",ROUND(OFFSET($P41,0,AK$13),15-13*ORÇAMENTO!$AF$7)/$H41*OFFSET(ORÇAMENTO!$X$15,ROW(AK41)-ROW(AK$15),0),ROUND(ROUND(OFFSET($P41,0,AK$13),15-13*ORÇAMENTO!$AF$7)*OFFSET(ORÇAMENTO!$W$15,ROW(AK41)-ROW(AK$15),0),15-13*ORÇAMENTO!$AF$11)),0)</f>
        <v>0</v>
      </c>
      <c r="AM41" s="211">
        <f ca="1">IF($D41&lt;&gt;"Serviço",0,IF(AND(AUTOEVENTO="Manual",$M41=1),0,IF(OFFSET(CRONOPLE!$F$14,$M41,AM$13)="",10^12,OFFSET(CRONOPLE!$F$14,$M41,AM$13))))</f>
        <v>0</v>
      </c>
      <c r="AN41" s="211">
        <f ca="1">IF($D41&lt;&gt;"Serviço",0,IF(AND(AUTOEVENTO="Manual",$M41=1),0,IF(OFFSET(CRONOPLE!$F$14,$M41,AN$13)="",10^12,OFFSET(CRONOPLE!$F$14,$M41,AN$13))))</f>
        <v>0</v>
      </c>
      <c r="AO41" s="211">
        <f ca="1">IF($D41&lt;&gt;"Serviço",0,IF(AND(AUTOEVENTO="Manual",$M41=1),0,IF(OFFSET(CRONOPLE!$F$14,$M41,AO$13)="",10^12,OFFSET(CRONOPLE!$F$14,$M41,AO$13))))</f>
        <v>0</v>
      </c>
      <c r="AP41" s="211">
        <f ca="1">IF($D41&lt;&gt;"Serviço",0,IF(AND(AUTOEVENTO="Manual",$M41=1),0,IF(OFFSET(CRONOPLE!$F$14,$M41,AP$13)="",10^12,OFFSET(CRONOPLE!$F$14,$M41,AP$13))))</f>
        <v>0</v>
      </c>
      <c r="AQ41" s="211">
        <f ca="1">IF($D41&lt;&gt;"Serviço",0,IF(AND(AUTOEVENTO="Manual",$M41=1),0,IF(OFFSET(CRONOPLE!$F$14,$M41,AQ$13)="",10^12,OFFSET(CRONOPLE!$F$14,$M41,AQ$13))))</f>
        <v>0</v>
      </c>
      <c r="AR41" s="211">
        <f ca="1">IF($D41&lt;&gt;"Serviço",0,IF(AND(AUTOEVENTO="Manual",$M41=1),0,IF(OFFSET(CRONOPLE!$F$14,$M41,AR$13)="",10^12,OFFSET(CRONOPLE!$F$14,$M41,AR$13))))</f>
        <v>0</v>
      </c>
      <c r="AS41" s="211">
        <f ca="1">IF($D41&lt;&gt;"Serviço",0,IF(AND(AUTOEVENTO="Manual",$M41=1),0,IF(OFFSET(CRONOPLE!$F$14,$M41,AS$13)="",10^12,OFFSET(CRONOPLE!$F$14,$M41,AS$13))))</f>
        <v>0</v>
      </c>
      <c r="AT41" s="211">
        <f ca="1">IF($D41&lt;&gt;"Serviço",0,IF(AND(AUTOEVENTO="Manual",$M41=1),0,IF(OFFSET(CRONOPLE!$F$14,$M41,AT$13)="",10^12,OFFSET(CRONOPLE!$F$14,$M41,AT$13))))</f>
        <v>0</v>
      </c>
      <c r="AU41" s="211">
        <f ca="1">IF($D41&lt;&gt;"Serviço",0,IF(AND(AUTOEVENTO="Manual",$M41=1),0,IF(OFFSET(CRONOPLE!$F$14,$M41,AU$13)="",10^12,OFFSET(CRONOPLE!$F$14,$M41,AU$13))))</f>
        <v>0</v>
      </c>
      <c r="AV41" s="211">
        <f ca="1">IF($D41&lt;&gt;"Serviço",0,IF(AND(AUTOEVENTO="Manual",$M41=1),0,IF(OFFSET(CRONOPLE!$F$14,$M41,AV$13)="",10^12,OFFSET(CRONOPLE!$F$14,$M41,AV$13))))</f>
        <v>0</v>
      </c>
      <c r="AX41" s="212">
        <f ca="1">IF($D41&lt;&gt;"Serviço",0,IF(OR(AND(AUTOEVENTO="Manual",$M41=1),$M41&gt;(ROW(PLE.lastrow)-ROW(PLE.firstrow))),0,IF(OFFSET(PLE!$G$14,$M41,AX$13)="",10^12,OFFSET(PLE!$G$14,$M41,AX$13))))</f>
        <v>0</v>
      </c>
      <c r="AY41" s="212">
        <f ca="1">IF($D41&lt;&gt;"Serviço",0,IF(OR(AND(AUTOEVENTO="Manual",$M41=1),$M41&gt;(ROW(PLE.lastrow)-ROW(PLE.firstrow))),0,IF(OFFSET(PLE!$G$14,$M41,AY$13)="",10^12,OFFSET(PLE!$G$14,$M41,AY$13))))</f>
        <v>0</v>
      </c>
      <c r="AZ41" s="212">
        <f ca="1">IF($D41&lt;&gt;"Serviço",0,IF(OR(AND(AUTOEVENTO="Manual",$M41=1),$M41&gt;(ROW(PLE.lastrow)-ROW(PLE.firstrow))),0,IF(OFFSET(PLE!$G$14,$M41,AZ$13)="",10^12,OFFSET(PLE!$G$14,$M41,AZ$13))))</f>
        <v>0</v>
      </c>
      <c r="BA41" s="212">
        <f ca="1">IF($D41&lt;&gt;"Serviço",0,IF(OR(AND(AUTOEVENTO="Manual",$M41=1),$M41&gt;(ROW(PLE.lastrow)-ROW(PLE.firstrow))),0,IF(OFFSET(PLE!$G$14,$M41,BA$13)="",10^12,OFFSET(PLE!$G$14,$M41,BA$13))))</f>
        <v>0</v>
      </c>
      <c r="BB41" s="212">
        <f ca="1">IF($D41&lt;&gt;"Serviço",0,IF(OR(AND(AUTOEVENTO="Manual",$M41=1),$M41&gt;(ROW(PLE.lastrow)-ROW(PLE.firstrow))),0,IF(OFFSET(PLE!$G$14,$M41,BB$13)="",10^12,OFFSET(PLE!$G$14,$M41,BB$13))))</f>
        <v>0</v>
      </c>
      <c r="BC41" s="212">
        <f ca="1">IF($D41&lt;&gt;"Serviço",0,IF(OR(AND(AUTOEVENTO="Manual",$M41=1),$M41&gt;(ROW(PLE.lastrow)-ROW(PLE.firstrow))),0,IF(OFFSET(PLE!$G$14,$M41,BC$13)="",10^12,OFFSET(PLE!$G$14,$M41,BC$13))))</f>
        <v>0</v>
      </c>
      <c r="BD41" s="212">
        <f ca="1">IF($D41&lt;&gt;"Serviço",0,IF(OR(AND(AUTOEVENTO="Manual",$M41=1),$M41&gt;(ROW(PLE.lastrow)-ROW(PLE.firstrow))),0,IF(OFFSET(PLE!$G$14,$M41,BD$13)="",10^12,OFFSET(PLE!$G$14,$M41,BD$13))))</f>
        <v>0</v>
      </c>
      <c r="BE41" s="212">
        <f ca="1">IF($D41&lt;&gt;"Serviço",0,IF(OR(AND(AUTOEVENTO="Manual",$M41=1),$M41&gt;(ROW(PLE.lastrow)-ROW(PLE.firstrow))),0,IF(OFFSET(PLE!$G$14,$M41,BE$13)="",10^12,OFFSET(PLE!$G$14,$M41,BE$13))))</f>
        <v>0</v>
      </c>
      <c r="BF41" s="212">
        <f ca="1">IF($D41&lt;&gt;"Serviço",0,IF(OR(AND(AUTOEVENTO="Manual",$M41=1),$M41&gt;(ROW(PLE.lastrow)-ROW(PLE.firstrow))),0,IF(OFFSET(PLE!$G$14,$M41,BF$13)="",10^12,OFFSET(PLE!$G$14,$M41,BF$13))))</f>
        <v>0</v>
      </c>
      <c r="BG41" s="212">
        <f ca="1">IF($D41&lt;&gt;"Serviço",0,IF(OR(AND(AUTOEVENTO="Manual",$M41=1),$M41&gt;(ROW(PLE.lastrow)-ROW(PLE.firstrow))),0,IF(OFFSET(PLE!$G$14,$M41,BG$13)="",10^12,OFFSET(PLE!$G$14,$M41,BG$13))))</f>
        <v>0</v>
      </c>
    </row>
    <row r="42" spans="1:59" ht="51">
      <c r="A42" s="9" t="str">
        <f ca="1">IF(AUTOEVENTO="Manual",IF(K42&lt;&gt;"",MIN(VALUE(LEFT(K42,FIND(".",K42)-1)),COUNTA(EVENTOS.Lista)),0),IF(OR($B42&gt;AUTOEVENTO,$B42="S",$B42=0),SUBSTITUTE(OFFSET($A42,-1,0),IF($D42="Serviço",".",""),""),ROW(A42)-ROW($A$15)&amp;"."))</f>
        <v>26</v>
      </c>
      <c r="B42" s="9" t="str">
        <f ca="1">OFFSET(ORÇAMENTO!C$15,ROW(B42)-ROW(B$15),0)</f>
        <v>S</v>
      </c>
      <c r="C42" s="9" t="str">
        <f ca="1">OFFSET(ORÇAMENTO!L$15,ROW(C42)-ROW(C$15),0)</f>
        <v/>
      </c>
      <c r="D42" s="141" t="str">
        <f ca="1">OFFSET(ORÇAMENTO!N$15,ROW(D42)-ROW(D$15),0)</f>
        <v>Serviço</v>
      </c>
      <c r="E42" s="201" t="str">
        <f ca="1">OFFSET(ORÇAMENTO!O$15,ROW(E42)-ROW(E$15),0)</f>
        <v>-</v>
      </c>
      <c r="F42" s="202" t="str">
        <f ca="1">OFFSET(ORÇAMENTO!R$15,ROW(F42)-ROW(F$15),0)</f>
        <v>(abra o arquivo 'Referência 07-2024.xlsm)</v>
      </c>
      <c r="G42" s="203" t="str">
        <f ca="1">IF($D42&lt;&gt;"Serviço","",OFFSET(ORÇAMENTO!S$15,ROW(G42)-ROW(G$15),0))</f>
        <v>-</v>
      </c>
      <c r="H42" s="147">
        <f ca="1">IF($D42&lt;&gt;"Serviço",0,IF(ACOMPANHAMENTO="BM",ROUND(OFFSET(ORÇAMENTO!AJ$15,ROW(H42)-ROW(H$15),0),15-13*ORÇAMENTO!$AF$7),SUMPRODUCT(($Q$12:$AA$12&lt;&gt;"")*ROUND($Q42:$AA42,15-13*ORÇAMENTO!$AF$7))))</f>
        <v>550</v>
      </c>
      <c r="I42" s="645" t="s">
        <v>497</v>
      </c>
      <c r="K42" s="204"/>
      <c r="L42" s="205" t="s">
        <v>255</v>
      </c>
      <c r="M42" s="206">
        <f ca="1">IF($D42&lt;&gt;"Serviço","",IF(AUTOEVENTO="manual",$A42,IF(ISERROR(MATCH($A42,$A$15:OFFSET($A42,-1,0),0)),MAX($M$15:OFFSET(M42,-1,0))+1,INDEX($M$15:OFFSET(M42,-1,0),MATCH($A42,$A$15:OFFSET($A42,-1,0),0)))))</f>
        <v>7</v>
      </c>
      <c r="N42" s="207" t="str">
        <f ca="1">IF($D42&lt;&gt;"Serviço","",IF(AUTOEVENTO="Manual",IF($A42=0,"&lt;-- defina o número do agrupador",OFFSET(EVENTOS!$D$14,$A42,0)),OFFSET($F$15,$A42,0)))</f>
        <v>SINALIZAÇÃO HORIZONTAL</v>
      </c>
      <c r="O42" s="208"/>
      <c r="Q42" s="208"/>
      <c r="R42" s="209"/>
      <c r="S42" s="209"/>
      <c r="T42" s="209"/>
      <c r="U42" s="209"/>
      <c r="V42" s="209"/>
      <c r="W42" s="209"/>
      <c r="X42" s="209"/>
      <c r="Y42" s="209"/>
      <c r="Z42" s="210"/>
      <c r="AB42" s="626">
        <f ca="1">IF(AND($D42="Serviço",AB$12&lt;&gt;0,$H42&gt;0,OR(AUTOEVENTO&lt;&gt;"manual",$M42&lt;&gt;1)),IF(Import.TipoArredondamento&lt;&gt;"TransfereGOV",ROUND(OFFSET($P42,0,AB$13),15-13*ORÇAMENTO!$AF$7)/$H42*OFFSET(ORÇAMENTO!$X$15,ROW(AB42)-ROW(AB$15),0),ROUND(ROUND(OFFSET($P42,0,AB$13),15-13*ORÇAMENTO!$AF$7)*OFFSET(ORÇAMENTO!$W$15,ROW(AB42)-ROW(AB$15),0),15-13*ORÇAMENTO!$AF$11)),0)</f>
        <v>0</v>
      </c>
      <c r="AC42" s="627">
        <f ca="1">IF(AND($D42="Serviço",AC$12&lt;&gt;0,$H42&gt;0,OR(AUTOEVENTO&lt;&gt;"manual",$M42&lt;&gt;1)),IF(Import.TipoArredondamento&lt;&gt;"TransfereGOV",ROUND(OFFSET($P42,0,AC$13),15-13*ORÇAMENTO!$AF$7)/$H42*OFFSET(ORÇAMENTO!$X$15,ROW(AC42)-ROW(AC$15),0),ROUND(ROUND(OFFSET($P42,0,AC$13),15-13*ORÇAMENTO!$AF$7)*OFFSET(ORÇAMENTO!$W$15,ROW(AC42)-ROW(AC$15),0),15-13*ORÇAMENTO!$AF$11)),0)</f>
        <v>0</v>
      </c>
      <c r="AD42" s="627">
        <f ca="1">IF(AND($D42="Serviço",AD$12&lt;&gt;0,$H42&gt;0,OR(AUTOEVENTO&lt;&gt;"manual",$M42&lt;&gt;1)),IF(Import.TipoArredondamento&lt;&gt;"TransfereGOV",ROUND(OFFSET($P42,0,AD$13),15-13*ORÇAMENTO!$AF$7)/$H42*OFFSET(ORÇAMENTO!$X$15,ROW(AD42)-ROW(AD$15),0),ROUND(ROUND(OFFSET($P42,0,AD$13),15-13*ORÇAMENTO!$AF$7)*OFFSET(ORÇAMENTO!$W$15,ROW(AD42)-ROW(AD$15),0),15-13*ORÇAMENTO!$AF$11)),0)</f>
        <v>0</v>
      </c>
      <c r="AE42" s="627">
        <f ca="1">IF(AND($D42="Serviço",AE$12&lt;&gt;0,$H42&gt;0,OR(AUTOEVENTO&lt;&gt;"manual",$M42&lt;&gt;1)),IF(Import.TipoArredondamento&lt;&gt;"TransfereGOV",ROUND(OFFSET($P42,0,AE$13),15-13*ORÇAMENTO!$AF$7)/$H42*OFFSET(ORÇAMENTO!$X$15,ROW(AE42)-ROW(AE$15),0),ROUND(ROUND(OFFSET($P42,0,AE$13),15-13*ORÇAMENTO!$AF$7)*OFFSET(ORÇAMENTO!$W$15,ROW(AE42)-ROW(AE$15),0),15-13*ORÇAMENTO!$AF$11)),0)</f>
        <v>0</v>
      </c>
      <c r="AF42" s="627">
        <f ca="1">IF(AND($D42="Serviço",AF$12&lt;&gt;0,$H42&gt;0,OR(AUTOEVENTO&lt;&gt;"manual",$M42&lt;&gt;1)),IF(Import.TipoArredondamento&lt;&gt;"TransfereGOV",ROUND(OFFSET($P42,0,AF$13),15-13*ORÇAMENTO!$AF$7)/$H42*OFFSET(ORÇAMENTO!$X$15,ROW(AF42)-ROW(AF$15),0),ROUND(ROUND(OFFSET($P42,0,AF$13),15-13*ORÇAMENTO!$AF$7)*OFFSET(ORÇAMENTO!$W$15,ROW(AF42)-ROW(AF$15),0),15-13*ORÇAMENTO!$AF$11)),0)</f>
        <v>0</v>
      </c>
      <c r="AG42" s="627">
        <f ca="1">IF(AND($D42="Serviço",AG$12&lt;&gt;0,$H42&gt;0,OR(AUTOEVENTO&lt;&gt;"manual",$M42&lt;&gt;1)),IF(Import.TipoArredondamento&lt;&gt;"TransfereGOV",ROUND(OFFSET($P42,0,AG$13),15-13*ORÇAMENTO!$AF$7)/$H42*OFFSET(ORÇAMENTO!$X$15,ROW(AG42)-ROW(AG$15),0),ROUND(ROUND(OFFSET($P42,0,AG$13),15-13*ORÇAMENTO!$AF$7)*OFFSET(ORÇAMENTO!$W$15,ROW(AG42)-ROW(AG$15),0),15-13*ORÇAMENTO!$AF$11)),0)</f>
        <v>0</v>
      </c>
      <c r="AH42" s="627">
        <f ca="1">IF(AND($D42="Serviço",AH$12&lt;&gt;0,$H42&gt;0,OR(AUTOEVENTO&lt;&gt;"manual",$M42&lt;&gt;1)),IF(Import.TipoArredondamento&lt;&gt;"TransfereGOV",ROUND(OFFSET($P42,0,AH$13),15-13*ORÇAMENTO!$AF$7)/$H42*OFFSET(ORÇAMENTO!$X$15,ROW(AH42)-ROW(AH$15),0),ROUND(ROUND(OFFSET($P42,0,AH$13),15-13*ORÇAMENTO!$AF$7)*OFFSET(ORÇAMENTO!$W$15,ROW(AH42)-ROW(AH$15),0),15-13*ORÇAMENTO!$AF$11)),0)</f>
        <v>0</v>
      </c>
      <c r="AI42" s="627">
        <f ca="1">IF(AND($D42="Serviço",AI$12&lt;&gt;0,$H42&gt;0,OR(AUTOEVENTO&lt;&gt;"manual",$M42&lt;&gt;1)),IF(Import.TipoArredondamento&lt;&gt;"TransfereGOV",ROUND(OFFSET($P42,0,AI$13),15-13*ORÇAMENTO!$AF$7)/$H42*OFFSET(ORÇAMENTO!$X$15,ROW(AI42)-ROW(AI$15),0),ROUND(ROUND(OFFSET($P42,0,AI$13),15-13*ORÇAMENTO!$AF$7)*OFFSET(ORÇAMENTO!$W$15,ROW(AI42)-ROW(AI$15),0),15-13*ORÇAMENTO!$AF$11)),0)</f>
        <v>0</v>
      </c>
      <c r="AJ42" s="627">
        <f ca="1">IF(AND($D42="Serviço",AJ$12&lt;&gt;0,$H42&gt;0,OR(AUTOEVENTO&lt;&gt;"manual",$M42&lt;&gt;1)),IF(Import.TipoArredondamento&lt;&gt;"TransfereGOV",ROUND(OFFSET($P42,0,AJ$13),15-13*ORÇAMENTO!$AF$7)/$H42*OFFSET(ORÇAMENTO!$X$15,ROW(AJ42)-ROW(AJ$15),0),ROUND(ROUND(OFFSET($P42,0,AJ$13),15-13*ORÇAMENTO!$AF$7)*OFFSET(ORÇAMENTO!$W$15,ROW(AJ42)-ROW(AJ$15),0),15-13*ORÇAMENTO!$AF$11)),0)</f>
        <v>0</v>
      </c>
      <c r="AK42" s="628">
        <f ca="1">IF(AND($D42="Serviço",AK$12&lt;&gt;0,$H42&gt;0,OR(AUTOEVENTO&lt;&gt;"manual",$M42&lt;&gt;1)),IF(Import.TipoArredondamento&lt;&gt;"TransfereGOV",ROUND(OFFSET($P42,0,AK$13),15-13*ORÇAMENTO!$AF$7)/$H42*OFFSET(ORÇAMENTO!$X$15,ROW(AK42)-ROW(AK$15),0),ROUND(ROUND(OFFSET($P42,0,AK$13),15-13*ORÇAMENTO!$AF$7)*OFFSET(ORÇAMENTO!$W$15,ROW(AK42)-ROW(AK$15),0),15-13*ORÇAMENTO!$AF$11)),0)</f>
        <v>0</v>
      </c>
      <c r="AM42" s="211">
        <f ca="1">IF($D42&lt;&gt;"Serviço",0,IF(AND(AUTOEVENTO="Manual",$M42=1),0,IF(OFFSET(CRONOPLE!$F$14,$M42,AM$13)="",10^12,OFFSET(CRONOPLE!$F$14,$M42,AM$13))))</f>
        <v>1000000000000</v>
      </c>
      <c r="AN42" s="211">
        <f ca="1">IF($D42&lt;&gt;"Serviço",0,IF(AND(AUTOEVENTO="Manual",$M42=1),0,IF(OFFSET(CRONOPLE!$F$14,$M42,AN$13)="",10^12,OFFSET(CRONOPLE!$F$14,$M42,AN$13))))</f>
        <v>1000000000000</v>
      </c>
      <c r="AO42" s="211">
        <f ca="1">IF($D42&lt;&gt;"Serviço",0,IF(AND(AUTOEVENTO="Manual",$M42=1),0,IF(OFFSET(CRONOPLE!$F$14,$M42,AO$13)="",10^12,OFFSET(CRONOPLE!$F$14,$M42,AO$13))))</f>
        <v>1000000000000</v>
      </c>
      <c r="AP42" s="211">
        <f ca="1">IF($D42&lt;&gt;"Serviço",0,IF(AND(AUTOEVENTO="Manual",$M42=1),0,IF(OFFSET(CRONOPLE!$F$14,$M42,AP$13)="",10^12,OFFSET(CRONOPLE!$F$14,$M42,AP$13))))</f>
        <v>1000000000000</v>
      </c>
      <c r="AQ42" s="211">
        <f ca="1">IF($D42&lt;&gt;"Serviço",0,IF(AND(AUTOEVENTO="Manual",$M42=1),0,IF(OFFSET(CRONOPLE!$F$14,$M42,AQ$13)="",10^12,OFFSET(CRONOPLE!$F$14,$M42,AQ$13))))</f>
        <v>1000000000000</v>
      </c>
      <c r="AR42" s="211">
        <f ca="1">IF($D42&lt;&gt;"Serviço",0,IF(AND(AUTOEVENTO="Manual",$M42=1),0,IF(OFFSET(CRONOPLE!$F$14,$M42,AR$13)="",10^12,OFFSET(CRONOPLE!$F$14,$M42,AR$13))))</f>
        <v>1000000000000</v>
      </c>
      <c r="AS42" s="211">
        <f ca="1">IF($D42&lt;&gt;"Serviço",0,IF(AND(AUTOEVENTO="Manual",$M42=1),0,IF(OFFSET(CRONOPLE!$F$14,$M42,AS$13)="",10^12,OFFSET(CRONOPLE!$F$14,$M42,AS$13))))</f>
        <v>1000000000000</v>
      </c>
      <c r="AT42" s="211">
        <f ca="1">IF($D42&lt;&gt;"Serviço",0,IF(AND(AUTOEVENTO="Manual",$M42=1),0,IF(OFFSET(CRONOPLE!$F$14,$M42,AT$13)="",10^12,OFFSET(CRONOPLE!$F$14,$M42,AT$13))))</f>
        <v>1000000000000</v>
      </c>
      <c r="AU42" s="211">
        <f ca="1">IF($D42&lt;&gt;"Serviço",0,IF(AND(AUTOEVENTO="Manual",$M42=1),0,IF(OFFSET(CRONOPLE!$F$14,$M42,AU$13)="",10^12,OFFSET(CRONOPLE!$F$14,$M42,AU$13))))</f>
        <v>1000000000000</v>
      </c>
      <c r="AV42" s="211">
        <f ca="1">IF($D42&lt;&gt;"Serviço",0,IF(AND(AUTOEVENTO="Manual",$M42=1),0,IF(OFFSET(CRONOPLE!$F$14,$M42,AV$13)="",10^12,OFFSET(CRONOPLE!$F$14,$M42,AV$13))))</f>
        <v>1000000000000</v>
      </c>
      <c r="AX42" s="212">
        <f ca="1">IF($D42&lt;&gt;"Serviço",0,IF(OR(AND(AUTOEVENTO="Manual",$M42=1),$M42&gt;(ROW(PLE.lastrow)-ROW(PLE.firstrow))),0,IF(OFFSET(PLE!$G$14,$M42,AX$13)="",10^12,OFFSET(PLE!$G$14,$M42,AX$13))))</f>
        <v>1000000000000</v>
      </c>
      <c r="AY42" s="212">
        <f ca="1">IF($D42&lt;&gt;"Serviço",0,IF(OR(AND(AUTOEVENTO="Manual",$M42=1),$M42&gt;(ROW(PLE.lastrow)-ROW(PLE.firstrow))),0,IF(OFFSET(PLE!$G$14,$M42,AY$13)="",10^12,OFFSET(PLE!$G$14,$M42,AY$13))))</f>
        <v>1000000000000</v>
      </c>
      <c r="AZ42" s="212">
        <f ca="1">IF($D42&lt;&gt;"Serviço",0,IF(OR(AND(AUTOEVENTO="Manual",$M42=1),$M42&gt;(ROW(PLE.lastrow)-ROW(PLE.firstrow))),0,IF(OFFSET(PLE!$G$14,$M42,AZ$13)="",10^12,OFFSET(PLE!$G$14,$M42,AZ$13))))</f>
        <v>1000000000000</v>
      </c>
      <c r="BA42" s="212">
        <f ca="1">IF($D42&lt;&gt;"Serviço",0,IF(OR(AND(AUTOEVENTO="Manual",$M42=1),$M42&gt;(ROW(PLE.lastrow)-ROW(PLE.firstrow))),0,IF(OFFSET(PLE!$G$14,$M42,BA$13)="",10^12,OFFSET(PLE!$G$14,$M42,BA$13))))</f>
        <v>1000000000000</v>
      </c>
      <c r="BB42" s="212">
        <f ca="1">IF($D42&lt;&gt;"Serviço",0,IF(OR(AND(AUTOEVENTO="Manual",$M42=1),$M42&gt;(ROW(PLE.lastrow)-ROW(PLE.firstrow))),0,IF(OFFSET(PLE!$G$14,$M42,BB$13)="",10^12,OFFSET(PLE!$G$14,$M42,BB$13))))</f>
        <v>1000000000000</v>
      </c>
      <c r="BC42" s="212">
        <f ca="1">IF($D42&lt;&gt;"Serviço",0,IF(OR(AND(AUTOEVENTO="Manual",$M42=1),$M42&gt;(ROW(PLE.lastrow)-ROW(PLE.firstrow))),0,IF(OFFSET(PLE!$G$14,$M42,BC$13)="",10^12,OFFSET(PLE!$G$14,$M42,BC$13))))</f>
        <v>1000000000000</v>
      </c>
      <c r="BD42" s="212">
        <f ca="1">IF($D42&lt;&gt;"Serviço",0,IF(OR(AND(AUTOEVENTO="Manual",$M42=1),$M42&gt;(ROW(PLE.lastrow)-ROW(PLE.firstrow))),0,IF(OFFSET(PLE!$G$14,$M42,BD$13)="",10^12,OFFSET(PLE!$G$14,$M42,BD$13))))</f>
        <v>1000000000000</v>
      </c>
      <c r="BE42" s="212">
        <f ca="1">IF($D42&lt;&gt;"Serviço",0,IF(OR(AND(AUTOEVENTO="Manual",$M42=1),$M42&gt;(ROW(PLE.lastrow)-ROW(PLE.firstrow))),0,IF(OFFSET(PLE!$G$14,$M42,BE$13)="",10^12,OFFSET(PLE!$G$14,$M42,BE$13))))</f>
        <v>1000000000000</v>
      </c>
      <c r="BF42" s="212">
        <f ca="1">IF($D42&lt;&gt;"Serviço",0,IF(OR(AND(AUTOEVENTO="Manual",$M42=1),$M42&gt;(ROW(PLE.lastrow)-ROW(PLE.firstrow))),0,IF(OFFSET(PLE!$G$14,$M42,BF$13)="",10^12,OFFSET(PLE!$G$14,$M42,BF$13))))</f>
        <v>1000000000000</v>
      </c>
      <c r="BG42" s="212">
        <f ca="1">IF($D42&lt;&gt;"Serviço",0,IF(OR(AND(AUTOEVENTO="Manual",$M42=1),$M42&gt;(ROW(PLE.lastrow)-ROW(PLE.firstrow))),0,IF(OFFSET(PLE!$G$14,$M42,BG$13)="",10^12,OFFSET(PLE!$G$14,$M42,BG$13))))</f>
        <v>1000000000000</v>
      </c>
    </row>
    <row r="43" spans="1:59" ht="5.0999999999999996" customHeight="1">
      <c r="B43" s="9">
        <f ca="1">OFFSET(ORÇAMENTO!C$15,ROW(B43)-ROW(B$15),0)</f>
        <v>-1</v>
      </c>
      <c r="C43" s="9" t="str">
        <f ca="1">OFFSET(ORÇAMENTO!L$15,ROW(C43)-ROW(C$15),0)</f>
        <v>F</v>
      </c>
      <c r="D43" s="557" t="s">
        <v>194</v>
      </c>
      <c r="E43" s="558"/>
      <c r="F43" s="559"/>
      <c r="G43" s="559"/>
      <c r="H43" s="559"/>
      <c r="I43" s="560"/>
      <c r="J43" s="172"/>
      <c r="K43" s="563"/>
      <c r="L43" s="556" t="s">
        <v>255</v>
      </c>
      <c r="M43" s="564"/>
      <c r="N43" s="561"/>
      <c r="O43" s="555"/>
      <c r="P43" s="172"/>
      <c r="Q43" s="562"/>
      <c r="R43" s="559"/>
      <c r="S43" s="559"/>
      <c r="T43" s="559"/>
      <c r="U43" s="559"/>
      <c r="V43" s="559"/>
      <c r="W43" s="559"/>
      <c r="X43" s="559"/>
      <c r="Y43" s="559"/>
      <c r="Z43" s="560"/>
      <c r="AA43" s="172"/>
      <c r="AB43" s="163"/>
      <c r="AC43" s="222"/>
      <c r="AD43" s="222"/>
      <c r="AE43" s="222"/>
      <c r="AF43" s="222"/>
      <c r="AG43" s="222"/>
      <c r="AH43" s="222"/>
      <c r="AI43" s="222"/>
      <c r="AJ43" s="222"/>
      <c r="AK43" s="164"/>
      <c r="AM43" s="163"/>
      <c r="AN43" s="222"/>
      <c r="AO43" s="222"/>
      <c r="AP43" s="222"/>
      <c r="AQ43" s="222"/>
      <c r="AR43" s="222"/>
      <c r="AS43" s="222"/>
      <c r="AT43" s="222"/>
      <c r="AU43" s="222"/>
      <c r="AV43" s="164"/>
      <c r="AX43" s="163"/>
      <c r="AY43" s="222"/>
      <c r="AZ43" s="222"/>
      <c r="BA43" s="222"/>
      <c r="BB43" s="222"/>
      <c r="BC43" s="222"/>
      <c r="BD43" s="222"/>
      <c r="BE43" s="222"/>
      <c r="BF43" s="222"/>
      <c r="BG43" s="164"/>
    </row>
    <row r="44" spans="1:59" ht="12.75" customHeight="1"/>
    <row r="45" spans="1:59" ht="12.75" customHeight="1"/>
    <row r="46" spans="1:59" ht="12.75" customHeight="1"/>
    <row r="47" spans="1:59" ht="15" customHeight="1">
      <c r="F47" s="223" t="str">
        <f>Import.Município</f>
        <v>PAINS/MG</v>
      </c>
      <c r="I47" s="635"/>
      <c r="J47" s="635"/>
      <c r="K47" s="635"/>
      <c r="L47" s="635"/>
      <c r="M47" s="636"/>
      <c r="N47" s="552"/>
      <c r="T47" s="171"/>
      <c r="U47" s="171"/>
      <c r="V47" s="224"/>
      <c r="W47" s="224"/>
      <c r="X47" s="224"/>
      <c r="Y47" s="224"/>
    </row>
    <row r="48" spans="1:59" ht="12.75" customHeight="1">
      <c r="F48" s="12" t="s">
        <v>188</v>
      </c>
      <c r="I48" s="225" t="s">
        <v>190</v>
      </c>
      <c r="J48" s="225"/>
      <c r="K48" s="225"/>
      <c r="L48" s="225"/>
      <c r="T48" s="225" t="s">
        <v>190</v>
      </c>
      <c r="U48" s="225"/>
    </row>
    <row r="49" spans="3:21" ht="12.75" customHeight="1">
      <c r="F49" s="100"/>
      <c r="I49" s="637" t="str">
        <f t="array" aca="1" ref="I49:I51" ca="1">OFFSET(Import.RespOrçamento,0,-1) &amp; " " &amp; Import.RespOrçamento</f>
        <v>Nome: VINÍCIUS HENRIQUE ALVES</v>
      </c>
      <c r="K49" s="92"/>
      <c r="L49" s="92"/>
      <c r="T49" s="637" t="str">
        <f t="array" aca="1" ref="T49:T51" ca="1">OFFSET(Import.RespOrçamento,0,-1) &amp; " " &amp; Import.RespOrçamento</f>
        <v>Nome: VINÍCIUS HENRIQUE ALVES</v>
      </c>
      <c r="U49" s="91"/>
    </row>
    <row r="50" spans="3:21" ht="12.75" customHeight="1">
      <c r="F50" s="634">
        <f ca="1">DADOS!$F$25</f>
        <v>45609</v>
      </c>
      <c r="I50" s="637" t="str">
        <f ca="1"/>
        <v>CREA/CAU: 253.246/D</v>
      </c>
      <c r="K50" s="92"/>
      <c r="L50" s="92"/>
      <c r="T50" s="637" t="str">
        <f ca="1"/>
        <v>CREA/CAU: 253.246/D</v>
      </c>
      <c r="U50" s="91"/>
    </row>
    <row r="51" spans="3:21" ht="12.75" customHeight="1">
      <c r="F51" s="173" t="s">
        <v>189</v>
      </c>
      <c r="I51" s="637" t="str">
        <f ca="1"/>
        <v>ART/RRT: MG20243487432</v>
      </c>
      <c r="K51" s="92"/>
      <c r="L51" s="92"/>
      <c r="T51" s="637" t="str">
        <f ca="1"/>
        <v>ART/RRT: MG20243487432</v>
      </c>
      <c r="U51" s="91"/>
    </row>
    <row r="52" spans="3:21" ht="12.75" customHeight="1">
      <c r="C52"/>
      <c r="M52"/>
    </row>
    <row r="53" spans="3:21" ht="12.75" customHeight="1">
      <c r="C53"/>
      <c r="M53"/>
    </row>
    <row r="54" spans="3:21" ht="12.75" customHeight="1">
      <c r="C54"/>
      <c r="M54"/>
    </row>
    <row r="55" spans="3:21" ht="12.75" customHeight="1">
      <c r="C55"/>
      <c r="M55"/>
    </row>
    <row r="56" spans="3:21" ht="12.75" customHeight="1">
      <c r="C56"/>
      <c r="M56"/>
    </row>
    <row r="57" spans="3:21" ht="12.75" customHeight="1">
      <c r="C57"/>
      <c r="M57"/>
    </row>
    <row r="58" spans="3:21" ht="12.75" customHeight="1">
      <c r="C58"/>
      <c r="M58"/>
    </row>
    <row r="59" spans="3:21" ht="12.75" customHeight="1">
      <c r="C59"/>
      <c r="M59"/>
    </row>
    <row r="60" spans="3:21" ht="12.75" customHeight="1">
      <c r="C60"/>
      <c r="M60"/>
    </row>
    <row r="61" spans="3:21" ht="12.75" customHeight="1">
      <c r="C61"/>
      <c r="M61"/>
    </row>
    <row r="62" spans="3:21" ht="12.75" customHeight="1">
      <c r="C62"/>
      <c r="M62"/>
    </row>
    <row r="63" spans="3:21" ht="12.75" customHeight="1">
      <c r="C63"/>
      <c r="M63"/>
    </row>
    <row r="64" spans="3:21" ht="12.75" customHeight="1">
      <c r="C64"/>
      <c r="M64"/>
    </row>
    <row r="65" spans="3:13" ht="12.75" customHeight="1">
      <c r="C65"/>
      <c r="M65"/>
    </row>
    <row r="66" spans="3:13" ht="12.75" customHeight="1">
      <c r="C66"/>
      <c r="M66"/>
    </row>
    <row r="67" spans="3:13" ht="12.75" customHeight="1">
      <c r="C67"/>
      <c r="M67"/>
    </row>
    <row r="68" spans="3:13" ht="12.75" customHeight="1">
      <c r="C68"/>
      <c r="M68"/>
    </row>
    <row r="69" spans="3:13" ht="12.75" customHeight="1">
      <c r="C69"/>
      <c r="M69"/>
    </row>
    <row r="70" spans="3:13" ht="12.75" customHeight="1">
      <c r="C70"/>
      <c r="M70"/>
    </row>
    <row r="71" spans="3:13" ht="12.75" customHeight="1">
      <c r="C71"/>
      <c r="M71"/>
    </row>
    <row r="72" spans="3:13" ht="12.75" customHeight="1">
      <c r="C72"/>
      <c r="M72"/>
    </row>
    <row r="73" spans="3:13" ht="12.75" customHeight="1">
      <c r="C73"/>
      <c r="M73"/>
    </row>
    <row r="74" spans="3:13" ht="12.75" customHeight="1">
      <c r="C74"/>
      <c r="M74"/>
    </row>
    <row r="75" spans="3:13" ht="12.75" customHeight="1">
      <c r="C75"/>
      <c r="M75"/>
    </row>
    <row r="76" spans="3:13" ht="12.75" customHeight="1">
      <c r="C76"/>
      <c r="M76"/>
    </row>
    <row r="77" spans="3:13" ht="12.75" customHeight="1">
      <c r="C77"/>
      <c r="M77"/>
    </row>
    <row r="78" spans="3:13" ht="12.75" customHeight="1">
      <c r="C78"/>
      <c r="M78"/>
    </row>
    <row r="79" spans="3:13" ht="12.75" customHeight="1">
      <c r="C79"/>
      <c r="M79"/>
    </row>
    <row r="80" spans="3:13" ht="12.75" customHeight="1">
      <c r="C80"/>
      <c r="M80"/>
    </row>
    <row r="81" spans="3:13" ht="12.75" customHeight="1">
      <c r="C81"/>
      <c r="M81"/>
    </row>
    <row r="82" spans="3:13" ht="12.75" customHeight="1">
      <c r="C82"/>
      <c r="M82"/>
    </row>
    <row r="83" spans="3:13" ht="12.75" customHeight="1">
      <c r="C83"/>
      <c r="M83"/>
    </row>
    <row r="84" spans="3:13" ht="12.75" customHeight="1">
      <c r="C84"/>
      <c r="M84"/>
    </row>
    <row r="85" spans="3:13" ht="12.75" customHeight="1">
      <c r="C85"/>
      <c r="M85"/>
    </row>
    <row r="86" spans="3:13" ht="12.75" customHeight="1">
      <c r="C86"/>
      <c r="M86"/>
    </row>
    <row r="87" spans="3:13" ht="12.75" customHeight="1">
      <c r="C87"/>
      <c r="M87"/>
    </row>
    <row r="88" spans="3:13" ht="12.75" customHeight="1">
      <c r="C88"/>
      <c r="M88"/>
    </row>
    <row r="89" spans="3:13" ht="12.75" customHeight="1">
      <c r="C89"/>
      <c r="M89"/>
    </row>
    <row r="90" spans="3:13" ht="12.75" customHeight="1">
      <c r="C90"/>
      <c r="M90"/>
    </row>
    <row r="91" spans="3:13" ht="12.75" customHeight="1">
      <c r="C91"/>
      <c r="M91"/>
    </row>
    <row r="92" spans="3:13" ht="12.75" customHeight="1">
      <c r="C92"/>
      <c r="M92"/>
    </row>
    <row r="93" spans="3:13" ht="12.75" customHeight="1">
      <c r="C93"/>
      <c r="M93"/>
    </row>
    <row r="94" spans="3:13" ht="12.75" customHeight="1">
      <c r="C94"/>
      <c r="M94"/>
    </row>
    <row r="95" spans="3:13" ht="12.75" customHeight="1">
      <c r="C95"/>
      <c r="M95"/>
    </row>
    <row r="96" spans="3:13" ht="12.75" customHeight="1">
      <c r="C96"/>
      <c r="M96"/>
    </row>
    <row r="97" spans="3:13" ht="12.75" customHeight="1">
      <c r="C97"/>
      <c r="M97"/>
    </row>
    <row r="98" spans="3:13" ht="12.75" customHeight="1">
      <c r="C98"/>
      <c r="M98"/>
    </row>
    <row r="99" spans="3:13" ht="12.75" customHeight="1">
      <c r="C99"/>
      <c r="M99"/>
    </row>
    <row r="100" spans="3:13" ht="12.75" customHeight="1">
      <c r="C100"/>
      <c r="M100"/>
    </row>
    <row r="101" spans="3:13" ht="12.75" customHeight="1">
      <c r="C101"/>
      <c r="M101"/>
    </row>
    <row r="102" spans="3:13" ht="12.75" customHeight="1">
      <c r="C102"/>
      <c r="M102"/>
    </row>
    <row r="103" spans="3:13" ht="12.75" customHeight="1">
      <c r="C103"/>
      <c r="M103"/>
    </row>
    <row r="104" spans="3:13" ht="12.75" customHeight="1">
      <c r="C104"/>
      <c r="M104"/>
    </row>
    <row r="105" spans="3:13" ht="12.75" customHeight="1">
      <c r="C105"/>
      <c r="M105"/>
    </row>
    <row r="106" spans="3:13" ht="12.75" customHeight="1">
      <c r="C106"/>
      <c r="M106"/>
    </row>
    <row r="107" spans="3:13" ht="12.75" customHeight="1">
      <c r="C107"/>
      <c r="M107"/>
    </row>
    <row r="108" spans="3:13" ht="12.75" customHeight="1">
      <c r="C108"/>
      <c r="M108"/>
    </row>
    <row r="109" spans="3:13" ht="12.75" customHeight="1">
      <c r="C109"/>
      <c r="M109"/>
    </row>
    <row r="110" spans="3:13" ht="12.75" customHeight="1">
      <c r="C110"/>
      <c r="M110"/>
    </row>
    <row r="111" spans="3:13" ht="12.75" customHeight="1">
      <c r="C111"/>
      <c r="M111"/>
    </row>
    <row r="112" spans="3:13" ht="12.75" customHeight="1">
      <c r="C112"/>
      <c r="M112"/>
    </row>
    <row r="113" spans="3:13" ht="12.75" customHeight="1">
      <c r="C113"/>
      <c r="M113"/>
    </row>
    <row r="114" spans="3:13" ht="12.75" customHeight="1">
      <c r="C114"/>
      <c r="M114"/>
    </row>
    <row r="115" spans="3:13" ht="12.75" customHeight="1">
      <c r="C115"/>
      <c r="M115"/>
    </row>
    <row r="116" spans="3:13" ht="12.75" customHeight="1">
      <c r="C116"/>
      <c r="M116"/>
    </row>
    <row r="117" spans="3:13" ht="12.75" customHeight="1">
      <c r="C117"/>
      <c r="M117"/>
    </row>
    <row r="118" spans="3:13" ht="12.75" customHeight="1">
      <c r="C118"/>
      <c r="M118"/>
    </row>
    <row r="119" spans="3:13" ht="12.75" customHeight="1">
      <c r="C119"/>
      <c r="M119"/>
    </row>
    <row r="120" spans="3:13" ht="12.75" customHeight="1">
      <c r="C120"/>
      <c r="M120"/>
    </row>
    <row r="121" spans="3:13" ht="12.75" customHeight="1">
      <c r="C121"/>
      <c r="M121"/>
    </row>
    <row r="122" spans="3:13" ht="12.75" customHeight="1">
      <c r="C122"/>
      <c r="M122"/>
    </row>
    <row r="123" spans="3:13" ht="12.75" customHeight="1">
      <c r="C123"/>
      <c r="M123"/>
    </row>
    <row r="124" spans="3:13" ht="12.75" customHeight="1">
      <c r="C124"/>
      <c r="M124"/>
    </row>
    <row r="125" spans="3:13" ht="12.75" customHeight="1">
      <c r="C125"/>
      <c r="M125"/>
    </row>
    <row r="126" spans="3:13" ht="12.75" customHeight="1">
      <c r="C126"/>
      <c r="M126"/>
    </row>
    <row r="127" spans="3:13" ht="12.75" customHeight="1">
      <c r="C127"/>
      <c r="M127"/>
    </row>
    <row r="128" spans="3:13" ht="12.75" customHeight="1">
      <c r="C128"/>
      <c r="M128"/>
    </row>
    <row r="129" spans="3:13" ht="12.75" customHeight="1">
      <c r="C129"/>
      <c r="M129"/>
    </row>
    <row r="130" spans="3:13" ht="12.75" customHeight="1">
      <c r="C130"/>
      <c r="M130"/>
    </row>
    <row r="131" spans="3:13" ht="12.75" customHeight="1">
      <c r="C131"/>
      <c r="M131"/>
    </row>
    <row r="132" spans="3:13" ht="12.75" customHeight="1">
      <c r="C132"/>
      <c r="M132"/>
    </row>
    <row r="133" spans="3:13" ht="12.75" customHeight="1">
      <c r="C133"/>
      <c r="M133"/>
    </row>
    <row r="134" spans="3:13" ht="12.75" customHeight="1">
      <c r="C134"/>
      <c r="M134"/>
    </row>
    <row r="135" spans="3:13" ht="12.75" customHeight="1">
      <c r="C135"/>
      <c r="M135"/>
    </row>
    <row r="136" spans="3:13" ht="12.75" customHeight="1">
      <c r="C136"/>
      <c r="M136"/>
    </row>
    <row r="137" spans="3:13" ht="12.75" customHeight="1">
      <c r="C137"/>
      <c r="M137"/>
    </row>
    <row r="138" spans="3:13" ht="12.75" customHeight="1">
      <c r="C138"/>
      <c r="M138"/>
    </row>
    <row r="139" spans="3:13" ht="12.75" customHeight="1">
      <c r="C139"/>
      <c r="M139"/>
    </row>
    <row r="140" spans="3:13" ht="12.75" customHeight="1">
      <c r="C140"/>
      <c r="M140"/>
    </row>
    <row r="141" spans="3:13" ht="12.75" customHeight="1">
      <c r="C141"/>
      <c r="M141"/>
    </row>
    <row r="142" spans="3:13" ht="12.75" customHeight="1">
      <c r="C142"/>
      <c r="M142"/>
    </row>
    <row r="143" spans="3:13" ht="12.75" customHeight="1">
      <c r="C143"/>
      <c r="M143"/>
    </row>
    <row r="144" spans="3:13" ht="12.75" customHeight="1">
      <c r="C144"/>
      <c r="M144"/>
    </row>
    <row r="145" spans="3:13" ht="12.75" customHeight="1">
      <c r="C145"/>
      <c r="M145"/>
    </row>
    <row r="146" spans="3:13" ht="12.75" customHeight="1">
      <c r="C146"/>
      <c r="M146"/>
    </row>
    <row r="147" spans="3:13" ht="12.75" customHeight="1">
      <c r="C147"/>
      <c r="M147"/>
    </row>
    <row r="148" spans="3:13" ht="12.75" customHeight="1">
      <c r="C148"/>
      <c r="M148"/>
    </row>
    <row r="149" spans="3:13" ht="12.75" customHeight="1">
      <c r="C149"/>
      <c r="M149"/>
    </row>
    <row r="150" spans="3:13" ht="12.75" customHeight="1">
      <c r="C150"/>
      <c r="M150"/>
    </row>
    <row r="151" spans="3:13" ht="12.75" customHeight="1">
      <c r="C151"/>
      <c r="M151"/>
    </row>
    <row r="152" spans="3:13" ht="12.75" customHeight="1">
      <c r="C152"/>
      <c r="M152"/>
    </row>
    <row r="153" spans="3:13" ht="12.75" customHeight="1">
      <c r="C153"/>
      <c r="M153"/>
    </row>
    <row r="154" spans="3:13" ht="12.75" customHeight="1">
      <c r="C154"/>
      <c r="M154"/>
    </row>
    <row r="155" spans="3:13" ht="12.75" customHeight="1">
      <c r="C155"/>
      <c r="M155"/>
    </row>
    <row r="156" spans="3:13" ht="12.75" customHeight="1">
      <c r="C156"/>
      <c r="M156"/>
    </row>
    <row r="157" spans="3:13" ht="12.75" customHeight="1">
      <c r="C157"/>
      <c r="M157"/>
    </row>
    <row r="158" spans="3:13" ht="12.75" customHeight="1">
      <c r="C158"/>
      <c r="M158"/>
    </row>
    <row r="159" spans="3:13" ht="12.75" customHeight="1">
      <c r="C159"/>
      <c r="M159"/>
    </row>
    <row r="160" spans="3:13" ht="12.75" customHeight="1">
      <c r="C160"/>
      <c r="M160"/>
    </row>
    <row r="161" spans="3:13" ht="12.75" customHeight="1">
      <c r="C161"/>
      <c r="M161"/>
    </row>
    <row r="162" spans="3:13" ht="12.75" customHeight="1">
      <c r="C162"/>
      <c r="M162"/>
    </row>
    <row r="163" spans="3:13" ht="12.75" customHeight="1">
      <c r="C163"/>
      <c r="M163"/>
    </row>
    <row r="164" spans="3:13" ht="12.75" customHeight="1">
      <c r="C164"/>
      <c r="M164"/>
    </row>
    <row r="165" spans="3:13" ht="12.75" customHeight="1">
      <c r="C165"/>
      <c r="M165"/>
    </row>
    <row r="166" spans="3:13" ht="12.75" customHeight="1">
      <c r="C166"/>
      <c r="M166"/>
    </row>
    <row r="167" spans="3:13" ht="12.75" customHeight="1">
      <c r="C167"/>
      <c r="M167"/>
    </row>
    <row r="168" spans="3:13" ht="12.75" customHeight="1">
      <c r="C168"/>
      <c r="M168"/>
    </row>
    <row r="169" spans="3:13" ht="12.75" customHeight="1">
      <c r="C169"/>
      <c r="M169"/>
    </row>
    <row r="170" spans="3:13" ht="12.75" customHeight="1">
      <c r="C170"/>
      <c r="M170"/>
    </row>
    <row r="171" spans="3:13" ht="12.75" customHeight="1">
      <c r="C171"/>
      <c r="M171"/>
    </row>
    <row r="172" spans="3:13" ht="12.75" customHeight="1">
      <c r="C172"/>
      <c r="M172"/>
    </row>
    <row r="173" spans="3:13" ht="12.75" customHeight="1">
      <c r="C173"/>
      <c r="M173"/>
    </row>
    <row r="174" spans="3:13" ht="12.75" customHeight="1">
      <c r="C174"/>
      <c r="M174"/>
    </row>
    <row r="175" spans="3:13" ht="12.75" customHeight="1">
      <c r="C175"/>
      <c r="M175"/>
    </row>
    <row r="176" spans="3:13" ht="12.75" customHeight="1">
      <c r="C176"/>
      <c r="M176"/>
    </row>
    <row r="177" spans="3:13" ht="12.75" customHeight="1">
      <c r="C177"/>
      <c r="M177"/>
    </row>
    <row r="178" spans="3:13" ht="12.75" customHeight="1">
      <c r="C178"/>
      <c r="M178"/>
    </row>
    <row r="179" spans="3:13" ht="12.75" customHeight="1">
      <c r="C179"/>
      <c r="M179"/>
    </row>
    <row r="180" spans="3:13" ht="12.75" customHeight="1">
      <c r="C180"/>
      <c r="M180"/>
    </row>
    <row r="181" spans="3:13" ht="12.75" customHeight="1">
      <c r="C181"/>
      <c r="M181"/>
    </row>
    <row r="182" spans="3:13" ht="12.75" customHeight="1">
      <c r="C182"/>
      <c r="M182"/>
    </row>
    <row r="183" spans="3:13" ht="12.75" customHeight="1">
      <c r="C183"/>
      <c r="M183"/>
    </row>
    <row r="184" spans="3:13" ht="12.75" customHeight="1">
      <c r="C184"/>
      <c r="M184"/>
    </row>
    <row r="185" spans="3:13" ht="12.75" customHeight="1">
      <c r="C185"/>
      <c r="M185"/>
    </row>
    <row r="186" spans="3:13" ht="12.75" customHeight="1">
      <c r="C186"/>
      <c r="M186"/>
    </row>
    <row r="187" spans="3:13" ht="12.75" customHeight="1">
      <c r="C187"/>
      <c r="M187"/>
    </row>
    <row r="188" spans="3:13" ht="12.75" customHeight="1">
      <c r="C188"/>
      <c r="M188"/>
    </row>
    <row r="189" spans="3:13" ht="12.75" customHeight="1">
      <c r="C189"/>
      <c r="M189"/>
    </row>
    <row r="190" spans="3:13" ht="12.75" customHeight="1">
      <c r="C190"/>
      <c r="M190"/>
    </row>
    <row r="191" spans="3:13" ht="12.75" customHeight="1">
      <c r="C191"/>
      <c r="M191"/>
    </row>
    <row r="192" spans="3:13" ht="12.75" customHeight="1">
      <c r="C192"/>
      <c r="M192"/>
    </row>
    <row r="193" spans="3:13" ht="12.75" customHeight="1">
      <c r="C193"/>
      <c r="M193"/>
    </row>
    <row r="194" spans="3:13" ht="12.75" customHeight="1">
      <c r="C194"/>
      <c r="M194"/>
    </row>
    <row r="195" spans="3:13" ht="12.75" customHeight="1">
      <c r="C195"/>
      <c r="M195"/>
    </row>
    <row r="196" spans="3:13" ht="12.75" customHeight="1">
      <c r="C196"/>
      <c r="M196"/>
    </row>
    <row r="197" spans="3:13" ht="12.75" customHeight="1">
      <c r="C197"/>
      <c r="M197"/>
    </row>
    <row r="198" spans="3:13" ht="12.75" customHeight="1">
      <c r="C198"/>
      <c r="M198"/>
    </row>
    <row r="199" spans="3:13" ht="12.75" customHeight="1">
      <c r="C199"/>
      <c r="M199"/>
    </row>
    <row r="200" spans="3:13" ht="12.75" customHeight="1">
      <c r="C200"/>
      <c r="M200"/>
    </row>
    <row r="201" spans="3:13" ht="12.75" customHeight="1">
      <c r="C201"/>
      <c r="M201"/>
    </row>
    <row r="202" spans="3:13" ht="12.75" customHeight="1">
      <c r="C202"/>
      <c r="M202"/>
    </row>
    <row r="203" spans="3:13" ht="12.75" customHeight="1">
      <c r="C203"/>
      <c r="M203"/>
    </row>
    <row r="204" spans="3:13" ht="12.75" customHeight="1">
      <c r="C204"/>
      <c r="M204"/>
    </row>
    <row r="205" spans="3:13" ht="12.75" customHeight="1">
      <c r="C205"/>
      <c r="M205"/>
    </row>
    <row r="206" spans="3:13" ht="12.75" customHeight="1">
      <c r="C206"/>
      <c r="M206"/>
    </row>
    <row r="207" spans="3:13" ht="12.75" customHeight="1">
      <c r="C207"/>
      <c r="M207"/>
    </row>
    <row r="208" spans="3:13" ht="12.75" customHeight="1">
      <c r="C208"/>
      <c r="M208"/>
    </row>
    <row r="209" spans="3:13" ht="12.75" customHeight="1">
      <c r="C209"/>
      <c r="M209"/>
    </row>
    <row r="210" spans="3:13" ht="12.75" customHeight="1">
      <c r="C210"/>
      <c r="M210"/>
    </row>
    <row r="211" spans="3:13" ht="12.75" customHeight="1">
      <c r="C211"/>
      <c r="M211"/>
    </row>
    <row r="212" spans="3:13" ht="12.75" customHeight="1">
      <c r="C212"/>
      <c r="M212"/>
    </row>
    <row r="213" spans="3:13" ht="12.75" customHeight="1">
      <c r="C213"/>
      <c r="M213"/>
    </row>
    <row r="214" spans="3:13" ht="12.75" customHeight="1">
      <c r="C214"/>
      <c r="M214"/>
    </row>
    <row r="215" spans="3:13" ht="12.75" customHeight="1">
      <c r="C215"/>
      <c r="M215"/>
    </row>
    <row r="216" spans="3:13" ht="12.75" customHeight="1">
      <c r="C216"/>
      <c r="M216"/>
    </row>
    <row r="217" spans="3:13" ht="12.75" customHeight="1">
      <c r="C217"/>
      <c r="M217"/>
    </row>
    <row r="218" spans="3:13" ht="12.75" customHeight="1">
      <c r="C218"/>
      <c r="M218"/>
    </row>
    <row r="219" spans="3:13" ht="12.75" customHeight="1">
      <c r="C219"/>
      <c r="M219"/>
    </row>
    <row r="220" spans="3:13" ht="12.75" customHeight="1">
      <c r="C220"/>
      <c r="M220"/>
    </row>
    <row r="221" spans="3:13" ht="12.75" customHeight="1">
      <c r="C221"/>
      <c r="M221"/>
    </row>
    <row r="222" spans="3:13" ht="12.75" customHeight="1">
      <c r="C222"/>
      <c r="M222"/>
    </row>
    <row r="223" spans="3:13" ht="12.75" customHeight="1">
      <c r="C223"/>
      <c r="M223"/>
    </row>
    <row r="224" spans="3:13" ht="12.75" customHeight="1">
      <c r="C224"/>
      <c r="M224"/>
    </row>
    <row r="225" spans="3:13" ht="12.75" customHeight="1">
      <c r="C225"/>
      <c r="M225"/>
    </row>
    <row r="226" spans="3:13" ht="12.75" customHeight="1">
      <c r="C226"/>
      <c r="M226"/>
    </row>
    <row r="227" spans="3:13" ht="12.75" customHeight="1">
      <c r="C227"/>
      <c r="M227"/>
    </row>
    <row r="228" spans="3:13" ht="12.75" customHeight="1">
      <c r="C228"/>
      <c r="M228"/>
    </row>
    <row r="229" spans="3:13" ht="12.75" customHeight="1">
      <c r="C229"/>
      <c r="M229"/>
    </row>
    <row r="230" spans="3:13" ht="12.75" customHeight="1">
      <c r="C230"/>
      <c r="M230"/>
    </row>
    <row r="231" spans="3:13" ht="12.75" customHeight="1">
      <c r="C231"/>
      <c r="M231"/>
    </row>
    <row r="232" spans="3:13" ht="12.75" customHeight="1">
      <c r="C232"/>
      <c r="M232"/>
    </row>
    <row r="233" spans="3:13" ht="12.75" customHeight="1">
      <c r="C233"/>
      <c r="M233"/>
    </row>
    <row r="234" spans="3:13" ht="12.75" customHeight="1">
      <c r="C234"/>
      <c r="M234"/>
    </row>
    <row r="235" spans="3:13" ht="12.75" customHeight="1">
      <c r="C235"/>
      <c r="M235"/>
    </row>
    <row r="236" spans="3:13" ht="12.75" customHeight="1">
      <c r="C236"/>
      <c r="M236"/>
    </row>
    <row r="237" spans="3:13" ht="12.75" customHeight="1">
      <c r="C237"/>
      <c r="M237"/>
    </row>
    <row r="238" spans="3:13" ht="12.75" customHeight="1">
      <c r="C238"/>
      <c r="M238"/>
    </row>
    <row r="239" spans="3:13" ht="12.75" customHeight="1">
      <c r="C239"/>
      <c r="M239"/>
    </row>
    <row r="240" spans="3:13" ht="12.75" customHeight="1">
      <c r="C240"/>
      <c r="M240"/>
    </row>
    <row r="241" spans="3:13" ht="12.75" customHeight="1">
      <c r="C241"/>
      <c r="M241"/>
    </row>
    <row r="242" spans="3:13" ht="12.75" customHeight="1">
      <c r="C242"/>
      <c r="M242"/>
    </row>
    <row r="243" spans="3:13" ht="12.75" customHeight="1">
      <c r="C243"/>
      <c r="M243"/>
    </row>
    <row r="244" spans="3:13" ht="12.75" customHeight="1">
      <c r="C244"/>
      <c r="M244"/>
    </row>
    <row r="245" spans="3:13" ht="12.75" customHeight="1">
      <c r="C245"/>
      <c r="M245"/>
    </row>
    <row r="246" spans="3:13" ht="12.75" customHeight="1">
      <c r="C246"/>
      <c r="M246"/>
    </row>
    <row r="247" spans="3:13" ht="12.75" customHeight="1">
      <c r="C247"/>
      <c r="M247"/>
    </row>
    <row r="248" spans="3:13" ht="12.75" customHeight="1">
      <c r="C248"/>
      <c r="M248"/>
    </row>
    <row r="249" spans="3:13" ht="12.75" customHeight="1">
      <c r="C249"/>
      <c r="M249"/>
    </row>
    <row r="250" spans="3:13" ht="12.75" customHeight="1">
      <c r="C250"/>
      <c r="M250"/>
    </row>
    <row r="251" spans="3:13" ht="12.75" customHeight="1">
      <c r="C251"/>
      <c r="M251"/>
    </row>
    <row r="252" spans="3:13" ht="12.75" customHeight="1">
      <c r="C252"/>
      <c r="M252"/>
    </row>
    <row r="253" spans="3:13" ht="12.75" customHeight="1">
      <c r="C253"/>
      <c r="M253"/>
    </row>
    <row r="254" spans="3:13" ht="12.75" customHeight="1">
      <c r="C254"/>
      <c r="M254"/>
    </row>
    <row r="255" spans="3:13" ht="12.75" customHeight="1">
      <c r="C255"/>
      <c r="M255"/>
    </row>
    <row r="256" spans="3:13" ht="12.75" customHeight="1">
      <c r="C256"/>
      <c r="M256"/>
    </row>
    <row r="257" spans="3:13" ht="12.75" customHeight="1">
      <c r="C257"/>
      <c r="M257"/>
    </row>
    <row r="258" spans="3:13" ht="12.75" customHeight="1">
      <c r="C258"/>
      <c r="M258"/>
    </row>
    <row r="259" spans="3:13" ht="12.75" customHeight="1">
      <c r="C259"/>
      <c r="M259"/>
    </row>
    <row r="260" spans="3:13" ht="12.75" customHeight="1">
      <c r="C260"/>
      <c r="M260"/>
    </row>
    <row r="261" spans="3:13" ht="12.75" customHeight="1">
      <c r="C261"/>
      <c r="M261"/>
    </row>
    <row r="262" spans="3:13" ht="12.75" customHeight="1">
      <c r="C262"/>
      <c r="M262"/>
    </row>
    <row r="263" spans="3:13" ht="12.75" customHeight="1">
      <c r="C263"/>
      <c r="M263"/>
    </row>
    <row r="264" spans="3:13" ht="12.75" customHeight="1">
      <c r="C264"/>
      <c r="M264"/>
    </row>
    <row r="265" spans="3:13" ht="12.75" customHeight="1">
      <c r="C265"/>
      <c r="M265"/>
    </row>
    <row r="266" spans="3:13" ht="12.75" customHeight="1">
      <c r="C266"/>
      <c r="M266"/>
    </row>
    <row r="267" spans="3:13" ht="12.75" customHeight="1">
      <c r="C267"/>
      <c r="M267"/>
    </row>
    <row r="268" spans="3:13" ht="12.75" customHeight="1">
      <c r="C268"/>
      <c r="M268"/>
    </row>
    <row r="269" spans="3:13" ht="12.75" customHeight="1">
      <c r="C269"/>
      <c r="M269"/>
    </row>
    <row r="270" spans="3:13" ht="12.75" customHeight="1">
      <c r="C270"/>
      <c r="M270"/>
    </row>
    <row r="271" spans="3:13" ht="12.75" customHeight="1">
      <c r="C271"/>
      <c r="M271"/>
    </row>
    <row r="272" spans="3:13" ht="12.75" customHeight="1">
      <c r="C272"/>
      <c r="M272"/>
    </row>
    <row r="273" spans="3:13" ht="12.75" customHeight="1">
      <c r="C273"/>
      <c r="M273"/>
    </row>
    <row r="274" spans="3:13" ht="12.75" customHeight="1">
      <c r="C274"/>
      <c r="M274"/>
    </row>
    <row r="275" spans="3:13" ht="12.75" customHeight="1">
      <c r="C275"/>
      <c r="M275"/>
    </row>
    <row r="276" spans="3:13" ht="12.75" customHeight="1">
      <c r="C276"/>
      <c r="M276"/>
    </row>
    <row r="277" spans="3:13" ht="12.75" customHeight="1">
      <c r="C277"/>
      <c r="M277"/>
    </row>
    <row r="278" spans="3:13" ht="12.75" customHeight="1">
      <c r="C278"/>
      <c r="M278"/>
    </row>
    <row r="279" spans="3:13" ht="12.75" customHeight="1">
      <c r="C279"/>
      <c r="M279"/>
    </row>
    <row r="280" spans="3:13" ht="12.75" customHeight="1">
      <c r="C280"/>
      <c r="M280"/>
    </row>
    <row r="281" spans="3:13" ht="12.75" customHeight="1">
      <c r="C281"/>
      <c r="M281"/>
    </row>
    <row r="282" spans="3:13" ht="12.75" customHeight="1">
      <c r="C282"/>
      <c r="M282"/>
    </row>
    <row r="283" spans="3:13" ht="12.75" customHeight="1">
      <c r="C283"/>
      <c r="M283"/>
    </row>
    <row r="284" spans="3:13" ht="12.75" customHeight="1">
      <c r="C284"/>
      <c r="M284"/>
    </row>
    <row r="285" spans="3:13" ht="12.75" customHeight="1">
      <c r="C285"/>
      <c r="M285"/>
    </row>
    <row r="286" spans="3:13" ht="12.75" customHeight="1">
      <c r="C286"/>
      <c r="M286"/>
    </row>
    <row r="287" spans="3:13" ht="12.75" customHeight="1">
      <c r="C287"/>
      <c r="M287"/>
    </row>
    <row r="288" spans="3:13" ht="12.75" customHeight="1">
      <c r="C288"/>
      <c r="M288"/>
    </row>
    <row r="289" spans="3:13" ht="12.75" customHeight="1">
      <c r="C289"/>
      <c r="M289"/>
    </row>
    <row r="290" spans="3:13" ht="12.75" customHeight="1">
      <c r="C290"/>
      <c r="M290"/>
    </row>
    <row r="291" spans="3:13" ht="12.75" customHeight="1">
      <c r="C291"/>
      <c r="M291"/>
    </row>
    <row r="292" spans="3:13" ht="12.75" customHeight="1">
      <c r="C292"/>
      <c r="M292"/>
    </row>
    <row r="293" spans="3:13" ht="12.75" customHeight="1">
      <c r="C293"/>
      <c r="M293"/>
    </row>
    <row r="294" spans="3:13" ht="12.75" customHeight="1">
      <c r="C294"/>
      <c r="M294"/>
    </row>
    <row r="295" spans="3:13" ht="12.75" customHeight="1">
      <c r="C295"/>
      <c r="M295"/>
    </row>
    <row r="296" spans="3:13" ht="12.75" customHeight="1">
      <c r="C296"/>
      <c r="M296"/>
    </row>
    <row r="297" spans="3:13" ht="12.75" customHeight="1">
      <c r="C297"/>
      <c r="M297"/>
    </row>
    <row r="298" spans="3:13" ht="12.75" customHeight="1">
      <c r="C298"/>
      <c r="M298"/>
    </row>
    <row r="299" spans="3:13" ht="12.75" customHeight="1">
      <c r="C299"/>
      <c r="M299"/>
    </row>
    <row r="300" spans="3:13" ht="12.75" customHeight="1">
      <c r="C300"/>
      <c r="M300"/>
    </row>
    <row r="301" spans="3:13" ht="12.75" customHeight="1">
      <c r="C301"/>
      <c r="M301"/>
    </row>
    <row r="302" spans="3:13" ht="12.75" customHeight="1">
      <c r="C302"/>
      <c r="M302"/>
    </row>
    <row r="303" spans="3:13" ht="12.75" customHeight="1">
      <c r="C303"/>
      <c r="M303"/>
    </row>
    <row r="304" spans="3:13" ht="12.75" customHeight="1">
      <c r="C304"/>
      <c r="M304"/>
    </row>
    <row r="305" spans="3:13" ht="12.75" customHeight="1">
      <c r="C305"/>
      <c r="M305"/>
    </row>
    <row r="306" spans="3:13" ht="12.75" customHeight="1">
      <c r="C306"/>
      <c r="M306"/>
    </row>
    <row r="307" spans="3:13" ht="12.75" customHeight="1">
      <c r="C307"/>
      <c r="M307"/>
    </row>
    <row r="308" spans="3:13" ht="12.75" customHeight="1">
      <c r="C308"/>
      <c r="M308"/>
    </row>
    <row r="309" spans="3:13" ht="12.75" customHeight="1">
      <c r="C309"/>
      <c r="M309"/>
    </row>
    <row r="310" spans="3:13" ht="12.75" customHeight="1">
      <c r="C310"/>
      <c r="M310"/>
    </row>
    <row r="311" spans="3:13" ht="12.75" customHeight="1">
      <c r="C311"/>
      <c r="M311"/>
    </row>
    <row r="312" spans="3:13" ht="12.75" customHeight="1">
      <c r="C312"/>
      <c r="M312"/>
    </row>
    <row r="313" spans="3:13" ht="12.75" customHeight="1">
      <c r="C313"/>
      <c r="M313"/>
    </row>
    <row r="314" spans="3:13" ht="12.75" customHeight="1">
      <c r="C314"/>
      <c r="M314"/>
    </row>
    <row r="315" spans="3:13" ht="12.75" customHeight="1">
      <c r="C315"/>
      <c r="M315"/>
    </row>
    <row r="316" spans="3:13" ht="12.75" customHeight="1">
      <c r="C316"/>
      <c r="M316"/>
    </row>
    <row r="317" spans="3:13" ht="12.75" customHeight="1">
      <c r="C317"/>
      <c r="M317"/>
    </row>
    <row r="318" spans="3:13" ht="12.75" customHeight="1">
      <c r="C318"/>
      <c r="M318"/>
    </row>
    <row r="319" spans="3:13" ht="12.75" customHeight="1">
      <c r="C319"/>
      <c r="M319"/>
    </row>
    <row r="320" spans="3:13" ht="12.75" customHeight="1">
      <c r="C320"/>
      <c r="M320"/>
    </row>
    <row r="321" spans="3:13" ht="12.75" customHeight="1">
      <c r="C321"/>
      <c r="M321"/>
    </row>
    <row r="322" spans="3:13" ht="12.75" customHeight="1">
      <c r="C322"/>
      <c r="M322"/>
    </row>
    <row r="323" spans="3:13" ht="12.75" customHeight="1">
      <c r="C323"/>
      <c r="M323"/>
    </row>
    <row r="324" spans="3:13" ht="12.75" customHeight="1">
      <c r="C324"/>
      <c r="M324"/>
    </row>
    <row r="325" spans="3:13" ht="12.75" customHeight="1">
      <c r="C325"/>
      <c r="M325"/>
    </row>
    <row r="326" spans="3:13" ht="12.75" customHeight="1">
      <c r="C326"/>
      <c r="M326"/>
    </row>
    <row r="327" spans="3:13" ht="12.75" customHeight="1">
      <c r="C327"/>
      <c r="M327"/>
    </row>
    <row r="328" spans="3:13" ht="12.75" customHeight="1">
      <c r="C328"/>
      <c r="M328"/>
    </row>
    <row r="329" spans="3:13" ht="12.75" customHeight="1">
      <c r="C329"/>
      <c r="M329"/>
    </row>
    <row r="330" spans="3:13" ht="12.75" customHeight="1">
      <c r="C330"/>
      <c r="M330"/>
    </row>
    <row r="331" spans="3:13" ht="12.75" customHeight="1">
      <c r="C331"/>
      <c r="M331"/>
    </row>
    <row r="332" spans="3:13" ht="12.75" customHeight="1">
      <c r="C332"/>
      <c r="M332"/>
    </row>
    <row r="333" spans="3:13" ht="12.75" customHeight="1">
      <c r="C333"/>
      <c r="M333"/>
    </row>
    <row r="334" spans="3:13" ht="12.75" customHeight="1">
      <c r="C334"/>
      <c r="M334"/>
    </row>
    <row r="335" spans="3:13" ht="12.75" customHeight="1">
      <c r="C335"/>
      <c r="M335"/>
    </row>
    <row r="336" spans="3:13" ht="12.75" customHeight="1">
      <c r="C336"/>
      <c r="M336"/>
    </row>
    <row r="337" spans="3:13" ht="12.75" customHeight="1">
      <c r="C337"/>
      <c r="M337"/>
    </row>
    <row r="338" spans="3:13" ht="12.75" customHeight="1">
      <c r="C338"/>
      <c r="M338"/>
    </row>
    <row r="339" spans="3:13" ht="12.75" customHeight="1">
      <c r="C339"/>
      <c r="M339"/>
    </row>
    <row r="340" spans="3:13" ht="12.75" customHeight="1">
      <c r="C340"/>
      <c r="M340"/>
    </row>
    <row r="341" spans="3:13" ht="12.75" customHeight="1">
      <c r="C341"/>
      <c r="M341"/>
    </row>
    <row r="342" spans="3:13" ht="12.75" customHeight="1">
      <c r="C342"/>
      <c r="M342"/>
    </row>
    <row r="343" spans="3:13" ht="12.75" customHeight="1">
      <c r="C343"/>
      <c r="M343"/>
    </row>
    <row r="344" spans="3:13" ht="12.75" customHeight="1">
      <c r="C344"/>
      <c r="M344"/>
    </row>
    <row r="345" spans="3:13" ht="12.75" customHeight="1">
      <c r="C345"/>
      <c r="M345"/>
    </row>
    <row r="346" spans="3:13" ht="12.75" customHeight="1">
      <c r="C346"/>
      <c r="M346"/>
    </row>
    <row r="347" spans="3:13" ht="12.75" customHeight="1">
      <c r="C347"/>
      <c r="M347"/>
    </row>
    <row r="348" spans="3:13" ht="12.75" customHeight="1">
      <c r="C348"/>
      <c r="M348"/>
    </row>
    <row r="349" spans="3:13" ht="12.75" customHeight="1">
      <c r="C349"/>
      <c r="M349"/>
    </row>
    <row r="350" spans="3:13" ht="12.75" customHeight="1">
      <c r="C350"/>
      <c r="M350"/>
    </row>
    <row r="351" spans="3:13" ht="12.75" customHeight="1">
      <c r="C351"/>
      <c r="M351"/>
    </row>
    <row r="352" spans="3:13" ht="12.75" customHeight="1">
      <c r="C352"/>
      <c r="M352"/>
    </row>
    <row r="353" spans="3:13" ht="12.75" customHeight="1">
      <c r="C353"/>
      <c r="M353"/>
    </row>
    <row r="354" spans="3:13" ht="12.75" customHeight="1">
      <c r="C354"/>
      <c r="M354"/>
    </row>
    <row r="355" spans="3:13" ht="12.75" customHeight="1">
      <c r="C355"/>
      <c r="M355"/>
    </row>
    <row r="356" spans="3:13" ht="12.75" customHeight="1">
      <c r="C356"/>
      <c r="M356"/>
    </row>
    <row r="357" spans="3:13" ht="12.75" customHeight="1">
      <c r="C357"/>
      <c r="M357"/>
    </row>
    <row r="358" spans="3:13" ht="12.75" customHeight="1">
      <c r="C358"/>
      <c r="M358"/>
    </row>
    <row r="359" spans="3:13" ht="12.75" customHeight="1">
      <c r="C359"/>
      <c r="M359"/>
    </row>
    <row r="360" spans="3:13" ht="12.75" customHeight="1">
      <c r="C360"/>
      <c r="M360"/>
    </row>
    <row r="361" spans="3:13" ht="12.75" customHeight="1">
      <c r="C361"/>
      <c r="M361"/>
    </row>
    <row r="362" spans="3:13" ht="12.75" customHeight="1">
      <c r="C362"/>
      <c r="M362"/>
    </row>
    <row r="363" spans="3:13" ht="12.75" customHeight="1">
      <c r="C363"/>
      <c r="M363"/>
    </row>
    <row r="364" spans="3:13" ht="12.75" customHeight="1">
      <c r="C364"/>
      <c r="M364"/>
    </row>
    <row r="365" spans="3:13" ht="12.75" customHeight="1">
      <c r="C365"/>
      <c r="M365"/>
    </row>
    <row r="366" spans="3:13" ht="12.75" customHeight="1">
      <c r="C366"/>
      <c r="M366"/>
    </row>
    <row r="367" spans="3:13" ht="12.75" customHeight="1">
      <c r="C367"/>
      <c r="M367"/>
    </row>
    <row r="368" spans="3:13" ht="12.75" customHeight="1">
      <c r="C368"/>
      <c r="M368"/>
    </row>
    <row r="369" spans="3:13" ht="12.75" customHeight="1">
      <c r="C369"/>
      <c r="M369"/>
    </row>
    <row r="370" spans="3:13" ht="12.75" customHeight="1">
      <c r="C370"/>
      <c r="M370"/>
    </row>
    <row r="371" spans="3:13" ht="12.75" customHeight="1">
      <c r="C371"/>
      <c r="M371"/>
    </row>
    <row r="372" spans="3:13" ht="12.75" customHeight="1">
      <c r="C372"/>
      <c r="M372"/>
    </row>
    <row r="373" spans="3:13" ht="12.75" customHeight="1">
      <c r="C373"/>
      <c r="M373"/>
    </row>
    <row r="374" spans="3:13" ht="12.75" customHeight="1">
      <c r="C374"/>
      <c r="M374"/>
    </row>
    <row r="375" spans="3:13" ht="12.75" customHeight="1">
      <c r="C375"/>
      <c r="M375"/>
    </row>
    <row r="376" spans="3:13" ht="12.75" customHeight="1">
      <c r="C376"/>
      <c r="M376"/>
    </row>
    <row r="377" spans="3:13" ht="12.75" customHeight="1">
      <c r="C377"/>
      <c r="M377"/>
    </row>
    <row r="378" spans="3:13" ht="12.75" customHeight="1">
      <c r="C378"/>
      <c r="M378"/>
    </row>
    <row r="379" spans="3:13" ht="12.75" customHeight="1">
      <c r="C379"/>
      <c r="M379"/>
    </row>
    <row r="380" spans="3:13" ht="12.75" customHeight="1">
      <c r="C380"/>
      <c r="M380"/>
    </row>
    <row r="381" spans="3:13" ht="12.75" customHeight="1">
      <c r="C381"/>
      <c r="M381"/>
    </row>
    <row r="382" spans="3:13" ht="12.75" customHeight="1">
      <c r="C382"/>
      <c r="M382"/>
    </row>
    <row r="383" spans="3:13" ht="12.75" customHeight="1">
      <c r="C383"/>
      <c r="M383"/>
    </row>
    <row r="384" spans="3:13" ht="12.75" customHeight="1">
      <c r="C384"/>
      <c r="M384"/>
    </row>
    <row r="385" spans="3:13" ht="12.75" customHeight="1">
      <c r="C385"/>
      <c r="M385"/>
    </row>
    <row r="386" spans="3:13" ht="12.75" customHeight="1">
      <c r="C386"/>
      <c r="M386"/>
    </row>
    <row r="387" spans="3:13" ht="12.75" customHeight="1">
      <c r="C387"/>
      <c r="M387"/>
    </row>
    <row r="388" spans="3:13" ht="12.75" customHeight="1">
      <c r="C388"/>
      <c r="M388"/>
    </row>
    <row r="389" spans="3:13" ht="12.75" customHeight="1">
      <c r="C389"/>
      <c r="M389"/>
    </row>
    <row r="390" spans="3:13" ht="12.75" customHeight="1">
      <c r="C390"/>
      <c r="M390"/>
    </row>
    <row r="391" spans="3:13" ht="12.75" customHeight="1">
      <c r="C391"/>
      <c r="M391"/>
    </row>
    <row r="392" spans="3:13" ht="12.75" customHeight="1">
      <c r="C392"/>
      <c r="M392"/>
    </row>
    <row r="393" spans="3:13" ht="12.75" customHeight="1">
      <c r="C393"/>
      <c r="M393"/>
    </row>
    <row r="394" spans="3:13" ht="12.75" customHeight="1">
      <c r="C394"/>
      <c r="M394"/>
    </row>
    <row r="395" spans="3:13" ht="12.75" customHeight="1">
      <c r="C395"/>
      <c r="M395"/>
    </row>
    <row r="396" spans="3:13" ht="12.75" customHeight="1">
      <c r="C396"/>
      <c r="M396"/>
    </row>
    <row r="397" spans="3:13" ht="12.75" customHeight="1">
      <c r="C397"/>
      <c r="M397"/>
    </row>
    <row r="398" spans="3:13" ht="12.75" customHeight="1">
      <c r="C398"/>
      <c r="M398"/>
    </row>
    <row r="399" spans="3:13" ht="12.75" customHeight="1">
      <c r="C399"/>
      <c r="M399"/>
    </row>
    <row r="400" spans="3:13" ht="12.75" customHeight="1">
      <c r="C400"/>
      <c r="M400"/>
    </row>
    <row r="401" spans="3:13" ht="12.75" customHeight="1">
      <c r="C401"/>
      <c r="M401"/>
    </row>
    <row r="402" spans="3:13" ht="12.75" customHeight="1">
      <c r="C402"/>
      <c r="M402"/>
    </row>
    <row r="403" spans="3:13" ht="12.75" customHeight="1">
      <c r="C403"/>
      <c r="M403"/>
    </row>
    <row r="404" spans="3:13" ht="12.75" customHeight="1">
      <c r="C404"/>
      <c r="M404"/>
    </row>
    <row r="405" spans="3:13" ht="12.75" customHeight="1">
      <c r="C405"/>
      <c r="M405"/>
    </row>
    <row r="406" spans="3:13" ht="12.75" customHeight="1">
      <c r="C406"/>
      <c r="M406"/>
    </row>
    <row r="407" spans="3:13" ht="12.75" customHeight="1">
      <c r="C407"/>
      <c r="M407"/>
    </row>
    <row r="408" spans="3:13" ht="12.75" customHeight="1">
      <c r="C408"/>
      <c r="M408"/>
    </row>
    <row r="409" spans="3:13" ht="12.75" customHeight="1">
      <c r="C409"/>
      <c r="M409"/>
    </row>
    <row r="410" spans="3:13" ht="12.75" customHeight="1">
      <c r="C410"/>
      <c r="M410"/>
    </row>
    <row r="411" spans="3:13" ht="12.75" customHeight="1">
      <c r="C411"/>
      <c r="M411"/>
    </row>
    <row r="412" spans="3:13" ht="12.75" customHeight="1">
      <c r="C412"/>
      <c r="M412"/>
    </row>
    <row r="413" spans="3:13" ht="12.75" customHeight="1">
      <c r="C413"/>
      <c r="M413"/>
    </row>
    <row r="414" spans="3:13" ht="12.75" customHeight="1">
      <c r="C414"/>
      <c r="M414"/>
    </row>
    <row r="415" spans="3:13" ht="12.75" customHeight="1">
      <c r="C415"/>
      <c r="M415"/>
    </row>
    <row r="416" spans="3:13" ht="12.75" customHeight="1">
      <c r="C416"/>
      <c r="M416"/>
    </row>
    <row r="417" spans="3:13" ht="12.75" customHeight="1">
      <c r="C417"/>
      <c r="M417"/>
    </row>
    <row r="418" spans="3:13" ht="12.75" customHeight="1">
      <c r="C418"/>
      <c r="M418"/>
    </row>
    <row r="419" spans="3:13" ht="12.75" customHeight="1">
      <c r="C419"/>
      <c r="M419"/>
    </row>
    <row r="420" spans="3:13" ht="12.75" customHeight="1">
      <c r="C420"/>
      <c r="M420"/>
    </row>
    <row r="421" spans="3:13" ht="12.75" customHeight="1">
      <c r="C421"/>
      <c r="M421"/>
    </row>
    <row r="422" spans="3:13" ht="12.75" customHeight="1">
      <c r="C422"/>
      <c r="M422"/>
    </row>
    <row r="423" spans="3:13" ht="12.75" customHeight="1">
      <c r="C423"/>
      <c r="M423"/>
    </row>
    <row r="424" spans="3:13" ht="12.75" customHeight="1">
      <c r="C424"/>
      <c r="M424"/>
    </row>
    <row r="425" spans="3:13" ht="12.75" customHeight="1">
      <c r="C425"/>
      <c r="M425"/>
    </row>
    <row r="426" spans="3:13" ht="12.75" customHeight="1">
      <c r="C426"/>
      <c r="M426"/>
    </row>
    <row r="427" spans="3:13" ht="12.75" customHeight="1">
      <c r="C427"/>
      <c r="M427"/>
    </row>
    <row r="428" spans="3:13" ht="12.75" customHeight="1">
      <c r="C428"/>
      <c r="M428"/>
    </row>
    <row r="429" spans="3:13" ht="12.75" customHeight="1">
      <c r="C429"/>
      <c r="M429"/>
    </row>
    <row r="430" spans="3:13" ht="12.75" customHeight="1">
      <c r="C430"/>
      <c r="M430"/>
    </row>
    <row r="431" spans="3:13" ht="12.75" customHeight="1">
      <c r="C431"/>
      <c r="M431"/>
    </row>
    <row r="432" spans="3:13" ht="12.75" customHeight="1">
      <c r="C432"/>
      <c r="M432"/>
    </row>
    <row r="433" spans="3:13" ht="12.75" customHeight="1">
      <c r="C433"/>
      <c r="M433"/>
    </row>
    <row r="434" spans="3:13" ht="12.75" customHeight="1">
      <c r="C434"/>
      <c r="M434"/>
    </row>
    <row r="435" spans="3:13" ht="12.75" customHeight="1">
      <c r="C435"/>
      <c r="M435"/>
    </row>
    <row r="436" spans="3:13" ht="12.75" customHeight="1">
      <c r="C436"/>
      <c r="M436"/>
    </row>
    <row r="437" spans="3:13" ht="12.75" customHeight="1">
      <c r="C437"/>
      <c r="M437"/>
    </row>
    <row r="438" spans="3:13" ht="12.75" customHeight="1">
      <c r="C438"/>
      <c r="M438"/>
    </row>
    <row r="439" spans="3:13" ht="12.75" customHeight="1">
      <c r="C439"/>
      <c r="M439"/>
    </row>
    <row r="440" spans="3:13" ht="12.75" customHeight="1">
      <c r="C440"/>
      <c r="M440"/>
    </row>
    <row r="441" spans="3:13" ht="12.75" customHeight="1">
      <c r="C441"/>
      <c r="M441"/>
    </row>
    <row r="442" spans="3:13" ht="12.75" customHeight="1">
      <c r="C442"/>
      <c r="M442"/>
    </row>
    <row r="443" spans="3:13" ht="12.75" customHeight="1">
      <c r="C443"/>
      <c r="M443"/>
    </row>
    <row r="444" spans="3:13" ht="12.75" customHeight="1">
      <c r="C444"/>
      <c r="M444"/>
    </row>
    <row r="445" spans="3:13" ht="12.75" customHeight="1">
      <c r="C445"/>
      <c r="M445"/>
    </row>
    <row r="446" spans="3:13" ht="12.75" customHeight="1">
      <c r="C446"/>
      <c r="M446"/>
    </row>
    <row r="447" spans="3:13" ht="12.75" customHeight="1">
      <c r="C447"/>
      <c r="M447"/>
    </row>
    <row r="448" spans="3:13" ht="12.75" customHeight="1">
      <c r="C448"/>
      <c r="M448"/>
    </row>
    <row r="449" spans="3:13" ht="12.75" customHeight="1">
      <c r="C449"/>
      <c r="M449"/>
    </row>
    <row r="450" spans="3:13" ht="12.75" customHeight="1">
      <c r="C450"/>
      <c r="M450"/>
    </row>
    <row r="451" spans="3:13" ht="12.75" customHeight="1">
      <c r="C451"/>
      <c r="M451"/>
    </row>
    <row r="452" spans="3:13" ht="12.75" customHeight="1">
      <c r="C452"/>
      <c r="M452"/>
    </row>
    <row r="453" spans="3:13" ht="12.75" customHeight="1">
      <c r="C453"/>
      <c r="M453"/>
    </row>
    <row r="454" spans="3:13" ht="12.75" customHeight="1">
      <c r="C454"/>
      <c r="M454"/>
    </row>
    <row r="455" spans="3:13" ht="12.75" customHeight="1">
      <c r="C455"/>
      <c r="M455"/>
    </row>
    <row r="456" spans="3:13" ht="12.75" customHeight="1">
      <c r="C456"/>
      <c r="M456"/>
    </row>
    <row r="457" spans="3:13" ht="12.75" customHeight="1">
      <c r="C457"/>
      <c r="M457"/>
    </row>
    <row r="458" spans="3:13" ht="12.75" customHeight="1">
      <c r="C458"/>
      <c r="M458"/>
    </row>
    <row r="459" spans="3:13" ht="12.75" customHeight="1">
      <c r="C459"/>
      <c r="M459"/>
    </row>
    <row r="460" spans="3:13" ht="12.75" customHeight="1">
      <c r="C460"/>
      <c r="M460"/>
    </row>
    <row r="461" spans="3:13" ht="12.75" customHeight="1">
      <c r="C461"/>
      <c r="M461"/>
    </row>
    <row r="462" spans="3:13" ht="12.75" customHeight="1">
      <c r="C462"/>
      <c r="M462"/>
    </row>
    <row r="463" spans="3:13" ht="12.75" customHeight="1">
      <c r="C463"/>
      <c r="M463"/>
    </row>
    <row r="464" spans="3:13" ht="12.75" customHeight="1">
      <c r="C464"/>
      <c r="M464"/>
    </row>
    <row r="465" spans="3:13" ht="12.75" customHeight="1">
      <c r="C465"/>
      <c r="M465"/>
    </row>
    <row r="466" spans="3:13" ht="12.75" customHeight="1">
      <c r="C466"/>
      <c r="M466"/>
    </row>
    <row r="467" spans="3:13" ht="12.75" customHeight="1">
      <c r="C467"/>
      <c r="M467"/>
    </row>
    <row r="468" spans="3:13" ht="12.75" customHeight="1">
      <c r="C468"/>
      <c r="M468"/>
    </row>
    <row r="469" spans="3:13" ht="12.75" customHeight="1">
      <c r="C469"/>
      <c r="M469"/>
    </row>
    <row r="470" spans="3:13" ht="12.75" customHeight="1">
      <c r="C470"/>
      <c r="M470"/>
    </row>
    <row r="471" spans="3:13" ht="12.75" customHeight="1">
      <c r="C471"/>
      <c r="M471"/>
    </row>
    <row r="472" spans="3:13" ht="12.75" customHeight="1">
      <c r="C472"/>
      <c r="M472"/>
    </row>
    <row r="473" spans="3:13" ht="12.75" customHeight="1">
      <c r="C473"/>
      <c r="M473"/>
    </row>
    <row r="474" spans="3:13" ht="12.75" customHeight="1">
      <c r="C474"/>
      <c r="M474"/>
    </row>
    <row r="475" spans="3:13" ht="12.75" customHeight="1">
      <c r="C475"/>
      <c r="M475"/>
    </row>
    <row r="476" spans="3:13" ht="12.75" customHeight="1">
      <c r="C476"/>
      <c r="M476"/>
    </row>
    <row r="477" spans="3:13" ht="12.75" customHeight="1">
      <c r="C477"/>
      <c r="M477"/>
    </row>
    <row r="478" spans="3:13" ht="12.75" customHeight="1">
      <c r="C478"/>
      <c r="M478"/>
    </row>
    <row r="479" spans="3:13" ht="12.75" customHeight="1">
      <c r="C479"/>
      <c r="M479"/>
    </row>
    <row r="480" spans="3:13" ht="12.75" customHeight="1">
      <c r="C480"/>
      <c r="M480"/>
    </row>
    <row r="481" spans="3:13" ht="12.75" customHeight="1">
      <c r="C481"/>
      <c r="M481"/>
    </row>
    <row r="482" spans="3:13" ht="12.75" customHeight="1">
      <c r="C482"/>
      <c r="M482"/>
    </row>
    <row r="483" spans="3:13" ht="12.75" customHeight="1">
      <c r="C483"/>
      <c r="M483"/>
    </row>
    <row r="484" spans="3:13" ht="12.75" customHeight="1">
      <c r="C484"/>
      <c r="M484"/>
    </row>
    <row r="485" spans="3:13" ht="12.75" customHeight="1">
      <c r="C485"/>
      <c r="M485"/>
    </row>
    <row r="486" spans="3:13" ht="12.75" customHeight="1">
      <c r="C486"/>
      <c r="M486"/>
    </row>
    <row r="487" spans="3:13" ht="12.75" customHeight="1">
      <c r="C487"/>
      <c r="M487"/>
    </row>
    <row r="488" spans="3:13" ht="12.75" customHeight="1">
      <c r="C488"/>
      <c r="M488"/>
    </row>
    <row r="489" spans="3:13" ht="12.75" customHeight="1">
      <c r="C489"/>
      <c r="M489"/>
    </row>
    <row r="490" spans="3:13" ht="12.75" customHeight="1">
      <c r="C490"/>
      <c r="M490"/>
    </row>
    <row r="491" spans="3:13" ht="12.75" customHeight="1">
      <c r="C491"/>
      <c r="M491"/>
    </row>
    <row r="492" spans="3:13" ht="12.75" customHeight="1">
      <c r="C492"/>
      <c r="M492"/>
    </row>
    <row r="493" spans="3:13" ht="12.75" customHeight="1">
      <c r="C493"/>
      <c r="M493"/>
    </row>
    <row r="494" spans="3:13" ht="12.75" customHeight="1">
      <c r="C494"/>
      <c r="M494"/>
    </row>
    <row r="495" spans="3:13" ht="12.75" customHeight="1">
      <c r="C495"/>
      <c r="M495"/>
    </row>
    <row r="496" spans="3:13" ht="12.75" customHeight="1">
      <c r="C496"/>
      <c r="M496"/>
    </row>
    <row r="497" spans="3:13" ht="12.75" customHeight="1">
      <c r="C497"/>
      <c r="M497"/>
    </row>
    <row r="498" spans="3:13" ht="12.75" customHeight="1">
      <c r="C498"/>
      <c r="M498"/>
    </row>
    <row r="499" spans="3:13" ht="12.75" customHeight="1">
      <c r="C499"/>
      <c r="M499"/>
    </row>
    <row r="500" spans="3:13" ht="12.75" customHeight="1">
      <c r="C500"/>
      <c r="M500"/>
    </row>
    <row r="501" spans="3:13" ht="12.75" customHeight="1">
      <c r="C501"/>
      <c r="M501"/>
    </row>
    <row r="502" spans="3:13" ht="12.75" customHeight="1">
      <c r="C502"/>
      <c r="M502"/>
    </row>
    <row r="503" spans="3:13" ht="12.75" customHeight="1">
      <c r="C503"/>
      <c r="M503"/>
    </row>
    <row r="504" spans="3:13" ht="12.75" customHeight="1">
      <c r="C504"/>
      <c r="M504"/>
    </row>
    <row r="505" spans="3:13" ht="12.75" customHeight="1">
      <c r="C505"/>
      <c r="M505"/>
    </row>
    <row r="506" spans="3:13" ht="12.75" customHeight="1">
      <c r="C506"/>
      <c r="M506"/>
    </row>
    <row r="507" spans="3:13" ht="12.75" customHeight="1">
      <c r="C507"/>
      <c r="M507"/>
    </row>
    <row r="508" spans="3:13" ht="12.75" customHeight="1">
      <c r="C508"/>
      <c r="M508"/>
    </row>
    <row r="509" spans="3:13" ht="12.75" customHeight="1">
      <c r="C509"/>
      <c r="M509"/>
    </row>
    <row r="510" spans="3:13" ht="12.75" customHeight="1">
      <c r="C510"/>
      <c r="M510"/>
    </row>
    <row r="511" spans="3:13" ht="12.75" customHeight="1">
      <c r="C511"/>
      <c r="M511"/>
    </row>
    <row r="512" spans="3:13" ht="12.75" customHeight="1">
      <c r="C512"/>
      <c r="M512"/>
    </row>
    <row r="513" spans="3:13" ht="12.75" customHeight="1">
      <c r="C513"/>
      <c r="M513"/>
    </row>
    <row r="514" spans="3:13" ht="12.75" customHeight="1">
      <c r="C514"/>
      <c r="M514"/>
    </row>
    <row r="515" spans="3:13" ht="12.75" customHeight="1">
      <c r="C515"/>
      <c r="M515"/>
    </row>
    <row r="516" spans="3:13" ht="12.75" customHeight="1">
      <c r="C516"/>
      <c r="M516"/>
    </row>
    <row r="517" spans="3:13" ht="12.75" customHeight="1">
      <c r="C517"/>
      <c r="M517"/>
    </row>
    <row r="518" spans="3:13" ht="12.75" customHeight="1">
      <c r="C518"/>
      <c r="M518"/>
    </row>
    <row r="519" spans="3:13" ht="12.75" customHeight="1">
      <c r="C519"/>
      <c r="M519"/>
    </row>
    <row r="520" spans="3:13" ht="12.75" customHeight="1">
      <c r="C520"/>
      <c r="M520"/>
    </row>
    <row r="521" spans="3:13" ht="12.75" customHeight="1">
      <c r="C521"/>
      <c r="M521"/>
    </row>
    <row r="522" spans="3:13" ht="12.75" customHeight="1">
      <c r="C522"/>
      <c r="M522"/>
    </row>
    <row r="523" spans="3:13" ht="12.75" customHeight="1">
      <c r="C523"/>
      <c r="M523"/>
    </row>
    <row r="524" spans="3:13" ht="12.75" customHeight="1">
      <c r="C524"/>
      <c r="M524"/>
    </row>
    <row r="525" spans="3:13" ht="12.75" customHeight="1">
      <c r="C525"/>
      <c r="M525"/>
    </row>
    <row r="526" spans="3:13" ht="12.75" customHeight="1">
      <c r="C526"/>
      <c r="M526"/>
    </row>
    <row r="527" spans="3:13" ht="12.75" customHeight="1">
      <c r="C527"/>
      <c r="M527"/>
    </row>
    <row r="528" spans="3:13" ht="12.75" customHeight="1">
      <c r="C528"/>
      <c r="M528"/>
    </row>
    <row r="529" spans="3:13" ht="12.75" customHeight="1">
      <c r="C529"/>
      <c r="M529"/>
    </row>
    <row r="530" spans="3:13" ht="12.75" customHeight="1">
      <c r="C530"/>
      <c r="M530"/>
    </row>
    <row r="531" spans="3:13" ht="12.75" customHeight="1">
      <c r="C531"/>
      <c r="M531"/>
    </row>
    <row r="532" spans="3:13" ht="12.75" customHeight="1">
      <c r="C532"/>
      <c r="M532"/>
    </row>
    <row r="533" spans="3:13" ht="12.75" customHeight="1">
      <c r="C533"/>
      <c r="M533"/>
    </row>
    <row r="534" spans="3:13" ht="12.75" customHeight="1">
      <c r="C534"/>
      <c r="M534"/>
    </row>
    <row r="535" spans="3:13" ht="12.75" customHeight="1">
      <c r="C535"/>
      <c r="M535"/>
    </row>
    <row r="536" spans="3:13" ht="12.75" customHeight="1">
      <c r="C536"/>
      <c r="M536"/>
    </row>
    <row r="537" spans="3:13" ht="12.75" customHeight="1">
      <c r="C537"/>
      <c r="M537"/>
    </row>
    <row r="538" spans="3:13" ht="12.75" customHeight="1">
      <c r="C538"/>
      <c r="M538"/>
    </row>
    <row r="539" spans="3:13" ht="12.75" customHeight="1">
      <c r="C539"/>
      <c r="M539"/>
    </row>
    <row r="540" spans="3:13" ht="12.75" customHeight="1">
      <c r="C540"/>
      <c r="M540"/>
    </row>
    <row r="541" spans="3:13" ht="12.75" customHeight="1">
      <c r="C541"/>
      <c r="M541"/>
    </row>
    <row r="542" spans="3:13" ht="12.75" customHeight="1">
      <c r="C542"/>
      <c r="M542"/>
    </row>
    <row r="543" spans="3:13" ht="12.75" customHeight="1">
      <c r="C543"/>
      <c r="M543"/>
    </row>
    <row r="544" spans="3:13" ht="12.75" customHeight="1">
      <c r="C544"/>
      <c r="M544"/>
    </row>
    <row r="545" spans="3:13" ht="12.75" customHeight="1">
      <c r="C545"/>
      <c r="M545"/>
    </row>
    <row r="546" spans="3:13" ht="12.75" customHeight="1">
      <c r="C546"/>
      <c r="M546"/>
    </row>
    <row r="547" spans="3:13" ht="12.75" customHeight="1">
      <c r="C547"/>
      <c r="M547"/>
    </row>
    <row r="548" spans="3:13" ht="12.75" customHeight="1">
      <c r="C548"/>
      <c r="M548"/>
    </row>
    <row r="549" spans="3:13" ht="12.75" customHeight="1">
      <c r="C549"/>
      <c r="M549"/>
    </row>
    <row r="550" spans="3:13" ht="12.75" customHeight="1">
      <c r="C550"/>
      <c r="M550"/>
    </row>
    <row r="551" spans="3:13" ht="12.75" customHeight="1">
      <c r="C551"/>
      <c r="M551"/>
    </row>
    <row r="552" spans="3:13" ht="12.75" customHeight="1">
      <c r="C552"/>
      <c r="M552"/>
    </row>
    <row r="553" spans="3:13" ht="12.75" customHeight="1">
      <c r="C553"/>
      <c r="M553"/>
    </row>
    <row r="554" spans="3:13" ht="12.75" customHeight="1">
      <c r="C554"/>
      <c r="M554"/>
    </row>
    <row r="555" spans="3:13" ht="12.75" customHeight="1">
      <c r="C555"/>
      <c r="M555"/>
    </row>
    <row r="556" spans="3:13" ht="12.75" customHeight="1">
      <c r="C556"/>
      <c r="M556"/>
    </row>
    <row r="557" spans="3:13" ht="12.75" customHeight="1">
      <c r="C557"/>
      <c r="M557"/>
    </row>
    <row r="558" spans="3:13" ht="12.75" customHeight="1">
      <c r="C558"/>
      <c r="M558"/>
    </row>
    <row r="559" spans="3:13" ht="12.75" customHeight="1">
      <c r="C559"/>
      <c r="M559"/>
    </row>
    <row r="560" spans="3:13" ht="12.75" customHeight="1">
      <c r="C560"/>
      <c r="M560"/>
    </row>
    <row r="561" spans="3:13" ht="12.75" customHeight="1">
      <c r="C561"/>
      <c r="M561"/>
    </row>
    <row r="562" spans="3:13" ht="12.75" customHeight="1">
      <c r="C562"/>
      <c r="M562"/>
    </row>
    <row r="563" spans="3:13" ht="12.75" customHeight="1">
      <c r="C563"/>
      <c r="M563"/>
    </row>
    <row r="564" spans="3:13" ht="12.75" customHeight="1">
      <c r="C564"/>
      <c r="M564"/>
    </row>
    <row r="565" spans="3:13" ht="12.75" customHeight="1">
      <c r="C565"/>
      <c r="M565"/>
    </row>
    <row r="566" spans="3:13" ht="12.75" customHeight="1">
      <c r="C566"/>
      <c r="M566"/>
    </row>
    <row r="567" spans="3:13" ht="12.75" customHeight="1">
      <c r="C567"/>
      <c r="M567"/>
    </row>
    <row r="568" spans="3:13" ht="12.75" customHeight="1">
      <c r="C568"/>
      <c r="M568"/>
    </row>
    <row r="569" spans="3:13" ht="12.75" customHeight="1">
      <c r="C569"/>
      <c r="M569"/>
    </row>
    <row r="570" spans="3:13" ht="12.75" customHeight="1">
      <c r="C570"/>
      <c r="M570"/>
    </row>
    <row r="571" spans="3:13" ht="12.75" customHeight="1">
      <c r="C571"/>
      <c r="M571"/>
    </row>
    <row r="572" spans="3:13" ht="12.75" customHeight="1">
      <c r="C572"/>
      <c r="M572"/>
    </row>
    <row r="573" spans="3:13" ht="12.75" customHeight="1">
      <c r="C573"/>
      <c r="M573"/>
    </row>
    <row r="574" spans="3:13" ht="12.75" customHeight="1">
      <c r="C574"/>
      <c r="M574"/>
    </row>
    <row r="575" spans="3:13" ht="12.75" customHeight="1">
      <c r="C575"/>
      <c r="M575"/>
    </row>
    <row r="576" spans="3:13" ht="12.75" customHeight="1">
      <c r="C576"/>
      <c r="M576"/>
    </row>
    <row r="577" spans="3:13" ht="12.75" customHeight="1">
      <c r="C577"/>
      <c r="M577"/>
    </row>
    <row r="578" spans="3:13" ht="12.75" customHeight="1">
      <c r="C578"/>
      <c r="M578"/>
    </row>
    <row r="579" spans="3:13" ht="12.75" customHeight="1">
      <c r="C579"/>
      <c r="M579"/>
    </row>
    <row r="580" spans="3:13" ht="12.75" customHeight="1">
      <c r="C580"/>
      <c r="M580"/>
    </row>
    <row r="581" spans="3:13" ht="12.75" customHeight="1">
      <c r="C581"/>
      <c r="M581"/>
    </row>
    <row r="582" spans="3:13" ht="12.75" customHeight="1">
      <c r="C582"/>
      <c r="M582"/>
    </row>
    <row r="583" spans="3:13" ht="12.75" customHeight="1">
      <c r="C583"/>
      <c r="M583"/>
    </row>
    <row r="584" spans="3:13" ht="12.75" customHeight="1">
      <c r="C584"/>
      <c r="M584"/>
    </row>
    <row r="585" spans="3:13" ht="12.75" customHeight="1">
      <c r="C585"/>
      <c r="M585"/>
    </row>
    <row r="586" spans="3:13" ht="12.75" customHeight="1">
      <c r="C586"/>
      <c r="M586"/>
    </row>
    <row r="587" spans="3:13" ht="12.75" customHeight="1">
      <c r="C587"/>
      <c r="M587"/>
    </row>
    <row r="588" spans="3:13" ht="12.75" customHeight="1">
      <c r="C588"/>
      <c r="M588"/>
    </row>
    <row r="589" spans="3:13" ht="12.75" customHeight="1">
      <c r="C589"/>
      <c r="M589"/>
    </row>
    <row r="590" spans="3:13" ht="12.75" customHeight="1">
      <c r="C590"/>
      <c r="M590"/>
    </row>
    <row r="591" spans="3:13" ht="12.75" customHeight="1">
      <c r="C591"/>
      <c r="M591"/>
    </row>
    <row r="592" spans="3:13" ht="12.75" customHeight="1">
      <c r="C592"/>
      <c r="M592"/>
    </row>
    <row r="593" spans="3:13" ht="12.75" customHeight="1">
      <c r="C593"/>
      <c r="M593"/>
    </row>
    <row r="594" spans="3:13" ht="12.75" customHeight="1">
      <c r="C594"/>
      <c r="M594"/>
    </row>
    <row r="595" spans="3:13" ht="12.75" customHeight="1">
      <c r="C595"/>
      <c r="M595"/>
    </row>
    <row r="596" spans="3:13" ht="12.75" customHeight="1">
      <c r="C596"/>
      <c r="M596"/>
    </row>
    <row r="597" spans="3:13" ht="12.75" customHeight="1">
      <c r="C597"/>
      <c r="M597"/>
    </row>
    <row r="598" spans="3:13" ht="12.75" customHeight="1">
      <c r="C598"/>
      <c r="M598"/>
    </row>
    <row r="599" spans="3:13" ht="12.75" customHeight="1">
      <c r="C599"/>
      <c r="M599"/>
    </row>
    <row r="600" spans="3:13" ht="12.75" customHeight="1">
      <c r="C600"/>
      <c r="M600"/>
    </row>
    <row r="601" spans="3:13" ht="12.75" customHeight="1">
      <c r="C601"/>
      <c r="M601"/>
    </row>
    <row r="602" spans="3:13" ht="12.75" customHeight="1">
      <c r="C602"/>
      <c r="M602"/>
    </row>
    <row r="603" spans="3:13" ht="12.75" customHeight="1">
      <c r="C603"/>
      <c r="M603"/>
    </row>
    <row r="604" spans="3:13" ht="12.75" customHeight="1">
      <c r="C604"/>
      <c r="M604"/>
    </row>
    <row r="605" spans="3:13" ht="12.75" customHeight="1">
      <c r="C605"/>
      <c r="M605"/>
    </row>
    <row r="606" spans="3:13" ht="12.75" customHeight="1">
      <c r="C606"/>
      <c r="M606"/>
    </row>
    <row r="607" spans="3:13" ht="12.75" customHeight="1">
      <c r="C607"/>
      <c r="M607"/>
    </row>
    <row r="608" spans="3:13" ht="12.75" customHeight="1">
      <c r="C608"/>
      <c r="M608"/>
    </row>
    <row r="609" spans="3:13" ht="12.75" customHeight="1">
      <c r="C609"/>
      <c r="M609"/>
    </row>
    <row r="610" spans="3:13" ht="12.75" customHeight="1">
      <c r="C610"/>
      <c r="M610"/>
    </row>
    <row r="611" spans="3:13" ht="12.75" customHeight="1">
      <c r="C611"/>
      <c r="M611"/>
    </row>
    <row r="612" spans="3:13" ht="12.75" customHeight="1">
      <c r="C612"/>
      <c r="M612"/>
    </row>
    <row r="613" spans="3:13" ht="12.75" customHeight="1">
      <c r="C613"/>
      <c r="M613"/>
    </row>
    <row r="614" spans="3:13" ht="12.75" customHeight="1">
      <c r="C614"/>
      <c r="M614"/>
    </row>
    <row r="615" spans="3:13" ht="12.75" customHeight="1">
      <c r="C615"/>
      <c r="M615"/>
    </row>
    <row r="616" spans="3:13" ht="12.75" customHeight="1">
      <c r="C616"/>
      <c r="M616"/>
    </row>
    <row r="617" spans="3:13" ht="12.75" customHeight="1">
      <c r="C617"/>
      <c r="M617"/>
    </row>
    <row r="618" spans="3:13" ht="12.75" customHeight="1">
      <c r="C618"/>
      <c r="M618"/>
    </row>
    <row r="619" spans="3:13" ht="12.75" customHeight="1">
      <c r="C619"/>
      <c r="M619"/>
    </row>
    <row r="620" spans="3:13" ht="12.75" customHeight="1">
      <c r="C620"/>
      <c r="M620"/>
    </row>
    <row r="621" spans="3:13" ht="12.75" customHeight="1">
      <c r="C621"/>
      <c r="M621"/>
    </row>
    <row r="622" spans="3:13" ht="12.75" customHeight="1">
      <c r="C622"/>
      <c r="M622"/>
    </row>
    <row r="623" spans="3:13" ht="12.75" customHeight="1">
      <c r="C623"/>
      <c r="M623"/>
    </row>
    <row r="624" spans="3:13" ht="12.75" customHeight="1">
      <c r="C624"/>
      <c r="M624"/>
    </row>
    <row r="625" spans="3:13" ht="12.75" customHeight="1">
      <c r="C625"/>
      <c r="M625"/>
    </row>
    <row r="626" spans="3:13" ht="12.75" customHeight="1">
      <c r="C626"/>
      <c r="M626"/>
    </row>
    <row r="627" spans="3:13" ht="12.75" customHeight="1">
      <c r="C627"/>
      <c r="M627"/>
    </row>
    <row r="628" spans="3:13" ht="12.75" customHeight="1">
      <c r="C628"/>
      <c r="M628"/>
    </row>
    <row r="629" spans="3:13" ht="12.75" customHeight="1">
      <c r="C629"/>
      <c r="M629"/>
    </row>
    <row r="630" spans="3:13" ht="12.75" customHeight="1">
      <c r="C630"/>
      <c r="M630"/>
    </row>
    <row r="631" spans="3:13" ht="12.75" customHeight="1">
      <c r="C631"/>
      <c r="M631"/>
    </row>
    <row r="632" spans="3:13" ht="12.75" customHeight="1">
      <c r="C632"/>
      <c r="M632"/>
    </row>
    <row r="633" spans="3:13" ht="12.75" customHeight="1">
      <c r="C633"/>
      <c r="M633"/>
    </row>
    <row r="634" spans="3:13" ht="12.75" customHeight="1">
      <c r="C634"/>
      <c r="M634"/>
    </row>
    <row r="635" spans="3:13" ht="12.75" customHeight="1">
      <c r="C635"/>
      <c r="M635"/>
    </row>
    <row r="636" spans="3:13" ht="12.75" customHeight="1">
      <c r="C636"/>
      <c r="M636"/>
    </row>
    <row r="637" spans="3:13" ht="12.75" customHeight="1">
      <c r="C637"/>
      <c r="M637"/>
    </row>
    <row r="638" spans="3:13" ht="12.75" customHeight="1">
      <c r="C638"/>
      <c r="M638"/>
    </row>
    <row r="639" spans="3:13" ht="12.75" customHeight="1">
      <c r="C639"/>
      <c r="M639"/>
    </row>
    <row r="640" spans="3:13" ht="12.75" customHeight="1">
      <c r="C640"/>
      <c r="M640"/>
    </row>
    <row r="641" spans="3:13" ht="12.75" customHeight="1">
      <c r="C641"/>
      <c r="M641"/>
    </row>
    <row r="642" spans="3:13" ht="12.75" customHeight="1">
      <c r="C642"/>
      <c r="M642"/>
    </row>
    <row r="643" spans="3:13" ht="12.75" customHeight="1">
      <c r="C643"/>
      <c r="M643"/>
    </row>
    <row r="644" spans="3:13" ht="12.75" customHeight="1">
      <c r="C644"/>
      <c r="M644"/>
    </row>
    <row r="645" spans="3:13" ht="12.75" customHeight="1">
      <c r="C645"/>
      <c r="M645"/>
    </row>
    <row r="646" spans="3:13" ht="12.75" customHeight="1">
      <c r="C646"/>
      <c r="M646"/>
    </row>
    <row r="647" spans="3:13" ht="12.75" customHeight="1">
      <c r="C647"/>
      <c r="M647"/>
    </row>
    <row r="648" spans="3:13" ht="12.75" customHeight="1">
      <c r="C648"/>
      <c r="M648"/>
    </row>
    <row r="649" spans="3:13" ht="12.75" customHeight="1">
      <c r="C649"/>
      <c r="M649"/>
    </row>
    <row r="650" spans="3:13" ht="12.75" customHeight="1">
      <c r="C650"/>
      <c r="M650"/>
    </row>
    <row r="651" spans="3:13" ht="12.75" customHeight="1">
      <c r="C651"/>
      <c r="M651"/>
    </row>
    <row r="652" spans="3:13" ht="12.75" customHeight="1">
      <c r="C652"/>
      <c r="M652"/>
    </row>
    <row r="653" spans="3:13" ht="12.75" customHeight="1">
      <c r="C653"/>
      <c r="M653"/>
    </row>
    <row r="654" spans="3:13" ht="12.75" customHeight="1">
      <c r="C654"/>
      <c r="M654"/>
    </row>
    <row r="655" spans="3:13" ht="12.75" customHeight="1">
      <c r="C655"/>
      <c r="M655"/>
    </row>
    <row r="656" spans="3:13" ht="12.75" customHeight="1">
      <c r="C656"/>
      <c r="M656"/>
    </row>
    <row r="657" spans="3:13" ht="12.75" customHeight="1">
      <c r="C657"/>
      <c r="M657"/>
    </row>
    <row r="658" spans="3:13" ht="12.75" customHeight="1">
      <c r="C658"/>
      <c r="M658"/>
    </row>
    <row r="659" spans="3:13" ht="12.75" customHeight="1">
      <c r="C659"/>
      <c r="M659"/>
    </row>
    <row r="660" spans="3:13" ht="12.75" customHeight="1">
      <c r="C660"/>
      <c r="M660"/>
    </row>
    <row r="661" spans="3:13" ht="12.75" customHeight="1">
      <c r="C661"/>
      <c r="M661"/>
    </row>
    <row r="662" spans="3:13" ht="12.75" customHeight="1">
      <c r="C662"/>
      <c r="M662"/>
    </row>
    <row r="663" spans="3:13" ht="12.75" customHeight="1">
      <c r="C663"/>
      <c r="M663"/>
    </row>
    <row r="664" spans="3:13" ht="12.75" customHeight="1">
      <c r="C664"/>
      <c r="M664"/>
    </row>
    <row r="665" spans="3:13" ht="12.75" customHeight="1">
      <c r="C665"/>
      <c r="M665"/>
    </row>
    <row r="666" spans="3:13" ht="12.75" customHeight="1">
      <c r="C666"/>
      <c r="M666"/>
    </row>
    <row r="667" spans="3:13" ht="12.75" customHeight="1">
      <c r="C667"/>
      <c r="M667"/>
    </row>
    <row r="668" spans="3:13" ht="12.75" customHeight="1">
      <c r="C668"/>
      <c r="M668"/>
    </row>
    <row r="669" spans="3:13" ht="12.75" customHeight="1">
      <c r="C669"/>
      <c r="M669"/>
    </row>
    <row r="670" spans="3:13" ht="12.75" customHeight="1">
      <c r="C670"/>
      <c r="M670"/>
    </row>
    <row r="671" spans="3:13" ht="12.75" customHeight="1">
      <c r="C671"/>
      <c r="M671"/>
    </row>
    <row r="672" spans="3:13" ht="12.75" customHeight="1">
      <c r="C672"/>
      <c r="M672"/>
    </row>
    <row r="673" spans="3:13" ht="12.75" customHeight="1">
      <c r="C673"/>
      <c r="M673"/>
    </row>
    <row r="674" spans="3:13" ht="12.75" customHeight="1">
      <c r="C674"/>
      <c r="M674"/>
    </row>
    <row r="675" spans="3:13" ht="12.75" customHeight="1">
      <c r="C675"/>
      <c r="M675"/>
    </row>
    <row r="676" spans="3:13" ht="12.75" customHeight="1">
      <c r="C676"/>
      <c r="M676"/>
    </row>
    <row r="677" spans="3:13" ht="12.75" customHeight="1">
      <c r="C677"/>
      <c r="M677"/>
    </row>
    <row r="678" spans="3:13" ht="12.75" customHeight="1">
      <c r="C678"/>
      <c r="M678"/>
    </row>
    <row r="679" spans="3:13" ht="12.75" customHeight="1">
      <c r="C679"/>
      <c r="M679"/>
    </row>
    <row r="680" spans="3:13" ht="12.75" customHeight="1">
      <c r="C680"/>
      <c r="M680"/>
    </row>
    <row r="681" spans="3:13" ht="12.75" customHeight="1">
      <c r="C681"/>
      <c r="M681"/>
    </row>
    <row r="682" spans="3:13" ht="12.75" customHeight="1">
      <c r="C682"/>
      <c r="M682"/>
    </row>
    <row r="683" spans="3:13" ht="12.75" customHeight="1">
      <c r="C683"/>
      <c r="M683"/>
    </row>
    <row r="684" spans="3:13" ht="12.75" customHeight="1">
      <c r="C684"/>
      <c r="M684"/>
    </row>
    <row r="685" spans="3:13" ht="12.75" customHeight="1">
      <c r="C685"/>
      <c r="M685"/>
    </row>
    <row r="686" spans="3:13" ht="12.75" customHeight="1">
      <c r="C686"/>
      <c r="M686"/>
    </row>
    <row r="687" spans="3:13" ht="12.75" customHeight="1">
      <c r="C687"/>
      <c r="M687"/>
    </row>
    <row r="688" spans="3:13" ht="12.75" customHeight="1">
      <c r="C688"/>
      <c r="M688"/>
    </row>
    <row r="689" spans="3:13" ht="12.75" customHeight="1">
      <c r="C689"/>
      <c r="M689"/>
    </row>
    <row r="690" spans="3:13" ht="12.75" customHeight="1">
      <c r="C690"/>
      <c r="M690"/>
    </row>
    <row r="691" spans="3:13" ht="12.75" customHeight="1">
      <c r="C691"/>
      <c r="M691"/>
    </row>
    <row r="692" spans="3:13" ht="12.75" customHeight="1">
      <c r="C692"/>
      <c r="M692"/>
    </row>
    <row r="693" spans="3:13" ht="12.75" customHeight="1">
      <c r="C693"/>
      <c r="M693"/>
    </row>
    <row r="694" spans="3:13" ht="12.75" customHeight="1">
      <c r="C694"/>
      <c r="M694"/>
    </row>
    <row r="695" spans="3:13" ht="12.75" customHeight="1">
      <c r="C695"/>
      <c r="M695"/>
    </row>
    <row r="696" spans="3:13" ht="12.75" customHeight="1">
      <c r="C696"/>
      <c r="M696"/>
    </row>
    <row r="697" spans="3:13" ht="12.75" customHeight="1">
      <c r="C697"/>
      <c r="M697"/>
    </row>
    <row r="698" spans="3:13" ht="12.75" customHeight="1">
      <c r="C698"/>
      <c r="M698"/>
    </row>
    <row r="699" spans="3:13" ht="12.75" customHeight="1">
      <c r="C699"/>
      <c r="M699"/>
    </row>
    <row r="700" spans="3:13" ht="12.75" customHeight="1">
      <c r="C700"/>
      <c r="M700"/>
    </row>
    <row r="701" spans="3:13" ht="12.75" customHeight="1">
      <c r="C701"/>
      <c r="M701"/>
    </row>
    <row r="702" spans="3:13" ht="12.75" customHeight="1">
      <c r="C702"/>
      <c r="M702"/>
    </row>
    <row r="703" spans="3:13" ht="12.75" customHeight="1">
      <c r="C703"/>
      <c r="M703"/>
    </row>
    <row r="704" spans="3:13" ht="12.75" customHeight="1">
      <c r="C704"/>
      <c r="M704"/>
    </row>
    <row r="705" spans="3:13" ht="12.75" customHeight="1">
      <c r="C705"/>
      <c r="M705"/>
    </row>
    <row r="706" spans="3:13" ht="12.75" customHeight="1">
      <c r="C706"/>
      <c r="M706"/>
    </row>
    <row r="707" spans="3:13" ht="12.75" customHeight="1">
      <c r="C707"/>
      <c r="M707"/>
    </row>
    <row r="708" spans="3:13" ht="12.75" customHeight="1">
      <c r="C708"/>
      <c r="M708"/>
    </row>
    <row r="709" spans="3:13" ht="12.75" customHeight="1">
      <c r="C709"/>
      <c r="M709"/>
    </row>
    <row r="710" spans="3:13" ht="12.75" customHeight="1">
      <c r="C710"/>
      <c r="M710"/>
    </row>
    <row r="711" spans="3:13" ht="12.75" customHeight="1">
      <c r="C711"/>
      <c r="M711"/>
    </row>
    <row r="712" spans="3:13" ht="12.75" customHeight="1">
      <c r="C712"/>
      <c r="M712"/>
    </row>
    <row r="713" spans="3:13" ht="12.75" customHeight="1">
      <c r="C713"/>
      <c r="M713"/>
    </row>
    <row r="714" spans="3:13" ht="12.75" customHeight="1">
      <c r="C714"/>
      <c r="M714"/>
    </row>
    <row r="715" spans="3:13" ht="12.75" customHeight="1">
      <c r="C715"/>
      <c r="M715"/>
    </row>
    <row r="716" spans="3:13" ht="12.75" customHeight="1">
      <c r="C716"/>
      <c r="M716"/>
    </row>
    <row r="717" spans="3:13" ht="12.75" customHeight="1">
      <c r="C717"/>
      <c r="M717"/>
    </row>
    <row r="718" spans="3:13" ht="12.75" customHeight="1">
      <c r="C718"/>
      <c r="M718"/>
    </row>
    <row r="719" spans="3:13" ht="12.75" customHeight="1">
      <c r="C719"/>
      <c r="M719"/>
    </row>
    <row r="720" spans="3:13" ht="12.75" customHeight="1">
      <c r="C720"/>
      <c r="M720"/>
    </row>
    <row r="721" spans="3:13" ht="12.75" customHeight="1">
      <c r="C721"/>
      <c r="M721"/>
    </row>
    <row r="722" spans="3:13" ht="12.75" customHeight="1">
      <c r="C722"/>
      <c r="M722"/>
    </row>
    <row r="723" spans="3:13" ht="12.75" customHeight="1">
      <c r="C723"/>
      <c r="M723"/>
    </row>
    <row r="724" spans="3:13" ht="12.75" customHeight="1">
      <c r="C724"/>
      <c r="M724"/>
    </row>
    <row r="725" spans="3:13" ht="12.75" customHeight="1">
      <c r="C725"/>
      <c r="M725"/>
    </row>
    <row r="726" spans="3:13" ht="12.75" customHeight="1">
      <c r="C726"/>
      <c r="M726"/>
    </row>
    <row r="727" spans="3:13" ht="12.75" customHeight="1">
      <c r="C727"/>
      <c r="M727"/>
    </row>
    <row r="728" spans="3:13" ht="12.75" customHeight="1">
      <c r="C728"/>
      <c r="M728"/>
    </row>
    <row r="729" spans="3:13" ht="12.75" customHeight="1">
      <c r="C729"/>
      <c r="M729"/>
    </row>
    <row r="730" spans="3:13" ht="12.75" customHeight="1">
      <c r="C730"/>
      <c r="M730"/>
    </row>
    <row r="731" spans="3:13" ht="12.75" customHeight="1">
      <c r="C731"/>
      <c r="M731"/>
    </row>
    <row r="732" spans="3:13" ht="12.75" customHeight="1">
      <c r="C732"/>
      <c r="M732"/>
    </row>
    <row r="733" spans="3:13" ht="12.75" customHeight="1">
      <c r="C733"/>
      <c r="M733"/>
    </row>
    <row r="734" spans="3:13" ht="12.75" customHeight="1">
      <c r="C734"/>
      <c r="M734"/>
    </row>
    <row r="735" spans="3:13" ht="12.75" customHeight="1">
      <c r="C735"/>
      <c r="M735"/>
    </row>
    <row r="736" spans="3:13" ht="12.75" customHeight="1">
      <c r="C736"/>
      <c r="M736"/>
    </row>
    <row r="737" spans="3:13" ht="12.75" customHeight="1">
      <c r="C737"/>
      <c r="M737"/>
    </row>
    <row r="738" spans="3:13" ht="12.75" customHeight="1">
      <c r="C738"/>
      <c r="M738"/>
    </row>
    <row r="739" spans="3:13" ht="12.75" customHeight="1">
      <c r="C739"/>
      <c r="M739"/>
    </row>
    <row r="740" spans="3:13" ht="12.75" customHeight="1">
      <c r="C740"/>
      <c r="M740"/>
    </row>
    <row r="741" spans="3:13" ht="12.75" customHeight="1">
      <c r="C741"/>
      <c r="M741"/>
    </row>
    <row r="742" spans="3:13" ht="12.75" customHeight="1">
      <c r="C742"/>
      <c r="M742"/>
    </row>
    <row r="743" spans="3:13" ht="12.75" customHeight="1">
      <c r="C743"/>
      <c r="M743"/>
    </row>
    <row r="744" spans="3:13" ht="12.75" customHeight="1">
      <c r="C744"/>
      <c r="M744"/>
    </row>
    <row r="745" spans="3:13" ht="12.75" customHeight="1">
      <c r="C745"/>
      <c r="M745"/>
    </row>
    <row r="746" spans="3:13" ht="12.75" customHeight="1">
      <c r="C746"/>
      <c r="M746"/>
    </row>
    <row r="747" spans="3:13" ht="12.75" customHeight="1">
      <c r="C747"/>
      <c r="M747"/>
    </row>
    <row r="748" spans="3:13" ht="12.75" customHeight="1">
      <c r="C748"/>
      <c r="M748"/>
    </row>
    <row r="749" spans="3:13" ht="12.75" customHeight="1">
      <c r="C749"/>
      <c r="M749"/>
    </row>
    <row r="750" spans="3:13" ht="12.75" customHeight="1">
      <c r="C750"/>
      <c r="M750"/>
    </row>
    <row r="751" spans="3:13" ht="12.75" customHeight="1">
      <c r="C751"/>
      <c r="M751"/>
    </row>
    <row r="752" spans="3:13" ht="12.75" customHeight="1">
      <c r="C752"/>
      <c r="M752"/>
    </row>
    <row r="753" spans="3:13" ht="12.75" customHeight="1">
      <c r="C753"/>
      <c r="M753"/>
    </row>
    <row r="754" spans="3:13" ht="12.75" customHeight="1">
      <c r="C754"/>
      <c r="M754"/>
    </row>
    <row r="755" spans="3:13" ht="12.75" customHeight="1">
      <c r="C755"/>
      <c r="M755"/>
    </row>
    <row r="756" spans="3:13" ht="12.75" customHeight="1">
      <c r="C756"/>
      <c r="M756"/>
    </row>
    <row r="757" spans="3:13" ht="12.75" customHeight="1">
      <c r="C757"/>
      <c r="M757"/>
    </row>
    <row r="758" spans="3:13" ht="12.75" customHeight="1">
      <c r="C758"/>
      <c r="M758"/>
    </row>
    <row r="759" spans="3:13" ht="12.75" customHeight="1">
      <c r="C759"/>
      <c r="M759"/>
    </row>
    <row r="760" spans="3:13" ht="12.75" customHeight="1">
      <c r="C760"/>
      <c r="M760"/>
    </row>
    <row r="761" spans="3:13" ht="12.75" customHeight="1">
      <c r="C761"/>
      <c r="M761"/>
    </row>
    <row r="762" spans="3:13" ht="12.75" customHeight="1">
      <c r="C762"/>
      <c r="M762"/>
    </row>
    <row r="763" spans="3:13" ht="12.75" customHeight="1">
      <c r="C763"/>
      <c r="M763"/>
    </row>
    <row r="764" spans="3:13" ht="12.75" customHeight="1">
      <c r="C764"/>
      <c r="M764"/>
    </row>
    <row r="765" spans="3:13" ht="12.75" customHeight="1">
      <c r="C765"/>
      <c r="M765"/>
    </row>
    <row r="766" spans="3:13" ht="12.75" customHeight="1">
      <c r="C766"/>
      <c r="M766"/>
    </row>
    <row r="767" spans="3:13" ht="12.75" customHeight="1">
      <c r="C767"/>
      <c r="M767"/>
    </row>
    <row r="768" spans="3:13" ht="12.75" customHeight="1">
      <c r="C768"/>
      <c r="M768"/>
    </row>
    <row r="769" spans="3:13" ht="12.75" customHeight="1">
      <c r="C769"/>
      <c r="M769"/>
    </row>
    <row r="770" spans="3:13" ht="12.75" customHeight="1">
      <c r="C770"/>
      <c r="M770"/>
    </row>
    <row r="771" spans="3:13" ht="12.75" customHeight="1">
      <c r="C771"/>
      <c r="M771"/>
    </row>
    <row r="772" spans="3:13" ht="12.75" customHeight="1">
      <c r="C772"/>
      <c r="M772"/>
    </row>
    <row r="773" spans="3:13" ht="12.75" customHeight="1">
      <c r="C773"/>
      <c r="M773"/>
    </row>
    <row r="774" spans="3:13" ht="12.75" customHeight="1">
      <c r="C774"/>
      <c r="M774"/>
    </row>
    <row r="775" spans="3:13" ht="12.75" customHeight="1">
      <c r="C775"/>
      <c r="M775"/>
    </row>
    <row r="776" spans="3:13" ht="12.75" customHeight="1">
      <c r="C776"/>
      <c r="M776"/>
    </row>
    <row r="777" spans="3:13" ht="12.75" customHeight="1">
      <c r="C777"/>
      <c r="M777"/>
    </row>
    <row r="778" spans="3:13" ht="12.75" customHeight="1">
      <c r="C778"/>
      <c r="M778"/>
    </row>
    <row r="779" spans="3:13" ht="12.75" customHeight="1">
      <c r="C779"/>
      <c r="M779"/>
    </row>
    <row r="780" spans="3:13" ht="12.75" customHeight="1">
      <c r="C780"/>
      <c r="M780"/>
    </row>
    <row r="781" spans="3:13" ht="12.75" customHeight="1">
      <c r="C781"/>
      <c r="M781"/>
    </row>
    <row r="782" spans="3:13" ht="12.75" customHeight="1">
      <c r="C782"/>
      <c r="M782"/>
    </row>
    <row r="783" spans="3:13" ht="12.75" customHeight="1">
      <c r="C783"/>
      <c r="M783"/>
    </row>
    <row r="784" spans="3:13" ht="12.75" customHeight="1">
      <c r="C784"/>
      <c r="M784"/>
    </row>
    <row r="785" spans="3:13" ht="12.75" customHeight="1">
      <c r="C785"/>
      <c r="M785"/>
    </row>
    <row r="786" spans="3:13" ht="12.75" customHeight="1">
      <c r="C786"/>
      <c r="M786"/>
    </row>
    <row r="787" spans="3:13" ht="12.75" customHeight="1">
      <c r="C787"/>
      <c r="M787"/>
    </row>
    <row r="788" spans="3:13" ht="12.75" customHeight="1">
      <c r="C788"/>
      <c r="M788"/>
    </row>
    <row r="789" spans="3:13" ht="12.75" customHeight="1">
      <c r="C789"/>
      <c r="M789"/>
    </row>
    <row r="790" spans="3:13" ht="12.75" customHeight="1">
      <c r="C790"/>
      <c r="M790"/>
    </row>
    <row r="791" spans="3:13" ht="12.75" customHeight="1">
      <c r="C791"/>
      <c r="M791"/>
    </row>
    <row r="792" spans="3:13" ht="12.75" customHeight="1">
      <c r="C792"/>
      <c r="M792"/>
    </row>
    <row r="793" spans="3:13" ht="12.75" customHeight="1">
      <c r="C793"/>
      <c r="M793"/>
    </row>
    <row r="794" spans="3:13" ht="12.75" customHeight="1">
      <c r="C794"/>
      <c r="M794"/>
    </row>
    <row r="795" spans="3:13" ht="12.75" customHeight="1">
      <c r="C795"/>
      <c r="M795"/>
    </row>
    <row r="796" spans="3:13" ht="12.75" customHeight="1">
      <c r="C796"/>
      <c r="M796"/>
    </row>
    <row r="797" spans="3:13" ht="12.75" customHeight="1">
      <c r="C797"/>
      <c r="M797"/>
    </row>
    <row r="798" spans="3:13" ht="12.75" customHeight="1">
      <c r="C798"/>
      <c r="M798"/>
    </row>
    <row r="799" spans="3:13" ht="12.75" customHeight="1">
      <c r="C799"/>
      <c r="M799"/>
    </row>
    <row r="800" spans="3:13" ht="12.75" customHeight="1">
      <c r="C800"/>
      <c r="M800"/>
    </row>
    <row r="801" spans="3:13" ht="12.75" customHeight="1">
      <c r="C801"/>
      <c r="M801"/>
    </row>
    <row r="802" spans="3:13" ht="12.75" customHeight="1">
      <c r="C802"/>
      <c r="M802"/>
    </row>
    <row r="803" spans="3:13" ht="12.75" customHeight="1">
      <c r="C803"/>
      <c r="M803"/>
    </row>
    <row r="804" spans="3:13" ht="12.75" customHeight="1">
      <c r="C804"/>
      <c r="M804"/>
    </row>
    <row r="805" spans="3:13" ht="12.75" customHeight="1">
      <c r="C805"/>
      <c r="M805"/>
    </row>
    <row r="806" spans="3:13" ht="12.75" customHeight="1">
      <c r="C806"/>
      <c r="M806"/>
    </row>
    <row r="807" spans="3:13" ht="12.75" customHeight="1">
      <c r="C807"/>
      <c r="M807"/>
    </row>
    <row r="808" spans="3:13" ht="12.75" customHeight="1">
      <c r="C808"/>
      <c r="M808"/>
    </row>
    <row r="809" spans="3:13" ht="12.75" customHeight="1">
      <c r="C809"/>
      <c r="M809"/>
    </row>
    <row r="810" spans="3:13" ht="12.75" customHeight="1">
      <c r="C810"/>
      <c r="M810"/>
    </row>
    <row r="811" spans="3:13" ht="12.75" customHeight="1">
      <c r="C811"/>
      <c r="M811"/>
    </row>
    <row r="812" spans="3:13" ht="12.75" customHeight="1">
      <c r="C812"/>
      <c r="M812"/>
    </row>
    <row r="813" spans="3:13" ht="12.75" customHeight="1">
      <c r="C813"/>
      <c r="M813"/>
    </row>
    <row r="814" spans="3:13" ht="12.75" customHeight="1">
      <c r="C814"/>
      <c r="M814"/>
    </row>
    <row r="815" spans="3:13" ht="12.75" customHeight="1">
      <c r="C815"/>
      <c r="M815"/>
    </row>
    <row r="816" spans="3:13" ht="12.75" customHeight="1">
      <c r="C816"/>
      <c r="M816"/>
    </row>
    <row r="817" spans="3:13" ht="12.75" customHeight="1">
      <c r="C817"/>
      <c r="M817"/>
    </row>
    <row r="818" spans="3:13" ht="12.75" customHeight="1">
      <c r="C818"/>
      <c r="M818"/>
    </row>
    <row r="819" spans="3:13" ht="12.75" customHeight="1">
      <c r="C819"/>
      <c r="M819"/>
    </row>
    <row r="820" spans="3:13" ht="12.75" customHeight="1">
      <c r="C820"/>
      <c r="M820"/>
    </row>
    <row r="821" spans="3:13" ht="12.75" customHeight="1">
      <c r="C821"/>
      <c r="M821"/>
    </row>
    <row r="822" spans="3:13" ht="12.75" customHeight="1">
      <c r="C822"/>
      <c r="M822"/>
    </row>
    <row r="823" spans="3:13" ht="12.75" customHeight="1">
      <c r="C823"/>
      <c r="M823"/>
    </row>
    <row r="824" spans="3:13" ht="12.75" customHeight="1">
      <c r="C824"/>
      <c r="M824"/>
    </row>
    <row r="825" spans="3:13" ht="12.75" customHeight="1">
      <c r="C825"/>
      <c r="M825"/>
    </row>
    <row r="826" spans="3:13" ht="12.75" customHeight="1">
      <c r="C826"/>
      <c r="M826"/>
    </row>
    <row r="827" spans="3:13" ht="12.75" customHeight="1">
      <c r="C827"/>
      <c r="M827"/>
    </row>
    <row r="828" spans="3:13" ht="12.75" customHeight="1">
      <c r="C828"/>
      <c r="M828"/>
    </row>
    <row r="829" spans="3:13" ht="12.75" customHeight="1">
      <c r="C829"/>
      <c r="M829"/>
    </row>
    <row r="830" spans="3:13" ht="12.75" customHeight="1">
      <c r="C830"/>
      <c r="M830"/>
    </row>
    <row r="831" spans="3:13" ht="12.75" customHeight="1">
      <c r="C831"/>
      <c r="M831"/>
    </row>
    <row r="832" spans="3:13" ht="12.75" customHeight="1">
      <c r="C832"/>
      <c r="M832"/>
    </row>
    <row r="833" spans="3:13" ht="12.75" customHeight="1">
      <c r="C833"/>
      <c r="M833"/>
    </row>
    <row r="834" spans="3:13" ht="12.75" customHeight="1">
      <c r="C834"/>
      <c r="M834"/>
    </row>
    <row r="835" spans="3:13" ht="12.75" customHeight="1">
      <c r="C835"/>
      <c r="M835"/>
    </row>
    <row r="836" spans="3:13" ht="12.75" customHeight="1">
      <c r="C836"/>
      <c r="M836"/>
    </row>
    <row r="837" spans="3:13" ht="12.75" customHeight="1">
      <c r="C837"/>
      <c r="M837"/>
    </row>
    <row r="838" spans="3:13" ht="12.75" customHeight="1">
      <c r="C838"/>
      <c r="M838"/>
    </row>
    <row r="839" spans="3:13" ht="12.75" customHeight="1">
      <c r="C839"/>
      <c r="M839"/>
    </row>
    <row r="840" spans="3:13" ht="12.75" customHeight="1">
      <c r="C840"/>
      <c r="M840"/>
    </row>
    <row r="841" spans="3:13" ht="12.75" customHeight="1">
      <c r="C841"/>
      <c r="M841"/>
    </row>
    <row r="842" spans="3:13" ht="12.75" customHeight="1">
      <c r="C842"/>
      <c r="M842"/>
    </row>
    <row r="843" spans="3:13" ht="12.75" customHeight="1">
      <c r="C843"/>
      <c r="M843"/>
    </row>
    <row r="844" spans="3:13" ht="12.75" customHeight="1">
      <c r="C844"/>
      <c r="M844"/>
    </row>
    <row r="845" spans="3:13" ht="12.75" customHeight="1">
      <c r="C845"/>
      <c r="M845"/>
    </row>
    <row r="846" spans="3:13" ht="12.75" customHeight="1">
      <c r="C846"/>
      <c r="M846"/>
    </row>
    <row r="847" spans="3:13" ht="12.75" customHeight="1">
      <c r="C847"/>
      <c r="M847"/>
    </row>
    <row r="848" spans="3:13" ht="12.75" customHeight="1">
      <c r="C848"/>
      <c r="M848"/>
    </row>
    <row r="849" spans="3:13" ht="12.75" customHeight="1">
      <c r="C849"/>
      <c r="M849"/>
    </row>
    <row r="850" spans="3:13" ht="12.75" customHeight="1">
      <c r="C850"/>
      <c r="M850"/>
    </row>
    <row r="851" spans="3:13" ht="12.75" customHeight="1">
      <c r="C851"/>
      <c r="M851"/>
    </row>
    <row r="852" spans="3:13" ht="12.75" customHeight="1">
      <c r="C852"/>
      <c r="M852"/>
    </row>
    <row r="853" spans="3:13" ht="12.75" customHeight="1">
      <c r="C853"/>
      <c r="M853"/>
    </row>
    <row r="854" spans="3:13" ht="12.75" customHeight="1">
      <c r="C854"/>
      <c r="M854"/>
    </row>
    <row r="855" spans="3:13" ht="12.75" customHeight="1">
      <c r="C855"/>
      <c r="M855"/>
    </row>
    <row r="856" spans="3:13" ht="12.75" customHeight="1">
      <c r="C856"/>
      <c r="M856"/>
    </row>
    <row r="857" spans="3:13" ht="12.75" customHeight="1">
      <c r="C857"/>
      <c r="M857"/>
    </row>
    <row r="858" spans="3:13" ht="12.75" customHeight="1">
      <c r="C858"/>
      <c r="M858"/>
    </row>
    <row r="859" spans="3:13" ht="12.75" customHeight="1">
      <c r="C859"/>
      <c r="M859"/>
    </row>
    <row r="860" spans="3:13" ht="12.75" customHeight="1">
      <c r="C860"/>
      <c r="M860"/>
    </row>
    <row r="861" spans="3:13" ht="12.75" customHeight="1">
      <c r="C861"/>
      <c r="M861"/>
    </row>
    <row r="862" spans="3:13" ht="12.75" customHeight="1">
      <c r="C862"/>
      <c r="M862"/>
    </row>
    <row r="863" spans="3:13" ht="12.75" customHeight="1">
      <c r="C863"/>
      <c r="M863"/>
    </row>
    <row r="864" spans="3:13" ht="12.75" customHeight="1">
      <c r="C864"/>
      <c r="M864"/>
    </row>
    <row r="865" spans="3:13" ht="12.75" customHeight="1">
      <c r="C865"/>
      <c r="M865"/>
    </row>
    <row r="866" spans="3:13" ht="12.75" customHeight="1">
      <c r="C866"/>
      <c r="M866"/>
    </row>
    <row r="867" spans="3:13" ht="12.75" customHeight="1">
      <c r="C867"/>
      <c r="M867"/>
    </row>
    <row r="868" spans="3:13" ht="12.75" customHeight="1">
      <c r="C868"/>
      <c r="M868"/>
    </row>
    <row r="869" spans="3:13" ht="12.75" customHeight="1">
      <c r="C869"/>
      <c r="M869"/>
    </row>
    <row r="870" spans="3:13" ht="12.75" customHeight="1">
      <c r="C870"/>
      <c r="M870"/>
    </row>
    <row r="871" spans="3:13" ht="12.75" customHeight="1">
      <c r="C871"/>
      <c r="M871"/>
    </row>
    <row r="872" spans="3:13" ht="12.75" customHeight="1">
      <c r="C872"/>
      <c r="M872"/>
    </row>
    <row r="873" spans="3:13" ht="12.75" customHeight="1">
      <c r="C873"/>
      <c r="M873"/>
    </row>
    <row r="874" spans="3:13" ht="12.75" customHeight="1">
      <c r="C874"/>
      <c r="M874"/>
    </row>
    <row r="875" spans="3:13" ht="12.75" customHeight="1">
      <c r="C875"/>
      <c r="M875"/>
    </row>
    <row r="876" spans="3:13" ht="12.75" customHeight="1">
      <c r="C876"/>
      <c r="M876"/>
    </row>
    <row r="877" spans="3:13" ht="12.75" customHeight="1">
      <c r="C877"/>
      <c r="M877"/>
    </row>
    <row r="878" spans="3:13" ht="12.75" customHeight="1">
      <c r="C878"/>
      <c r="M878"/>
    </row>
    <row r="879" spans="3:13" ht="12.75" customHeight="1">
      <c r="C879"/>
      <c r="M879"/>
    </row>
    <row r="880" spans="3:13" ht="12.75" customHeight="1">
      <c r="C880"/>
      <c r="M880"/>
    </row>
    <row r="881" spans="3:13" ht="12.75" customHeight="1">
      <c r="C881"/>
      <c r="M881"/>
    </row>
    <row r="882" spans="3:13" ht="12.75" customHeight="1">
      <c r="C882"/>
      <c r="M882"/>
    </row>
    <row r="883" spans="3:13" ht="12.75" customHeight="1">
      <c r="C883"/>
      <c r="M883"/>
    </row>
    <row r="884" spans="3:13" ht="12.75" customHeight="1">
      <c r="C884"/>
      <c r="M884"/>
    </row>
    <row r="885" spans="3:13" ht="12.75" customHeight="1">
      <c r="C885"/>
      <c r="M885"/>
    </row>
    <row r="886" spans="3:13" ht="12.75" customHeight="1">
      <c r="C886"/>
      <c r="M886"/>
    </row>
    <row r="887" spans="3:13" ht="12.75" customHeight="1">
      <c r="C887"/>
      <c r="M887"/>
    </row>
    <row r="888" spans="3:13" ht="12.75" customHeight="1">
      <c r="C888"/>
      <c r="M888"/>
    </row>
    <row r="889" spans="3:13" ht="12.75" customHeight="1">
      <c r="C889"/>
      <c r="M889"/>
    </row>
    <row r="890" spans="3:13" ht="12.75" customHeight="1">
      <c r="C890"/>
      <c r="M890"/>
    </row>
    <row r="891" spans="3:13" ht="12.75" customHeight="1">
      <c r="C891"/>
      <c r="M891"/>
    </row>
    <row r="892" spans="3:13" ht="12.75" customHeight="1">
      <c r="C892"/>
      <c r="M892"/>
    </row>
    <row r="893" spans="3:13" ht="12.75" customHeight="1">
      <c r="C893"/>
      <c r="M893"/>
    </row>
    <row r="894" spans="3:13" ht="12.75" customHeight="1">
      <c r="C894"/>
      <c r="M894"/>
    </row>
    <row r="895" spans="3:13" ht="12.75" customHeight="1">
      <c r="C895"/>
      <c r="M895"/>
    </row>
    <row r="896" spans="3:13" ht="12.75" customHeight="1">
      <c r="C896"/>
      <c r="M896"/>
    </row>
    <row r="897" spans="3:13" ht="12.75" customHeight="1">
      <c r="C897"/>
      <c r="M897"/>
    </row>
    <row r="898" spans="3:13" ht="12.75" customHeight="1">
      <c r="C898"/>
      <c r="M898"/>
    </row>
    <row r="899" spans="3:13" ht="12.75" customHeight="1">
      <c r="C899"/>
      <c r="M899"/>
    </row>
    <row r="900" spans="3:13" ht="12.75" customHeight="1">
      <c r="C900"/>
      <c r="M900"/>
    </row>
    <row r="901" spans="3:13" ht="12.75" customHeight="1">
      <c r="C901"/>
      <c r="M901"/>
    </row>
    <row r="902" spans="3:13" ht="12.75" customHeight="1">
      <c r="C902"/>
      <c r="M902"/>
    </row>
    <row r="903" spans="3:13" ht="12.75" customHeight="1">
      <c r="C903"/>
      <c r="M903"/>
    </row>
    <row r="904" spans="3:13" ht="12.75" customHeight="1">
      <c r="C904"/>
      <c r="M904"/>
    </row>
    <row r="905" spans="3:13" ht="12.75" customHeight="1">
      <c r="C905"/>
      <c r="M905"/>
    </row>
    <row r="906" spans="3:13" ht="12.75" customHeight="1">
      <c r="C906"/>
      <c r="M906"/>
    </row>
    <row r="907" spans="3:13" ht="12.75" customHeight="1">
      <c r="C907"/>
      <c r="M907"/>
    </row>
    <row r="908" spans="3:13" ht="12.75" customHeight="1">
      <c r="C908"/>
      <c r="M908"/>
    </row>
    <row r="909" spans="3:13" ht="12.75" customHeight="1">
      <c r="C909"/>
      <c r="M909"/>
    </row>
    <row r="910" spans="3:13" ht="12.75" customHeight="1">
      <c r="C910"/>
      <c r="M910"/>
    </row>
    <row r="911" spans="3:13" ht="12.75" customHeight="1">
      <c r="C911"/>
      <c r="M911"/>
    </row>
    <row r="912" spans="3:13" ht="12.75" customHeight="1">
      <c r="C912"/>
      <c r="M912"/>
    </row>
    <row r="913" spans="3:13" ht="12.75" customHeight="1">
      <c r="C913"/>
      <c r="M913"/>
    </row>
    <row r="914" spans="3:13" ht="12.75" customHeight="1">
      <c r="C914"/>
      <c r="M914"/>
    </row>
    <row r="915" spans="3:13" ht="12.75" customHeight="1">
      <c r="C915"/>
      <c r="M915"/>
    </row>
    <row r="916" spans="3:13" ht="12.75" customHeight="1">
      <c r="C916"/>
      <c r="M916"/>
    </row>
    <row r="917" spans="3:13" ht="12.75" customHeight="1">
      <c r="C917"/>
      <c r="M917"/>
    </row>
    <row r="918" spans="3:13" ht="12.75" customHeight="1">
      <c r="C918"/>
      <c r="M918"/>
    </row>
    <row r="919" spans="3:13" ht="12.75" customHeight="1">
      <c r="C919"/>
      <c r="M919"/>
    </row>
    <row r="920" spans="3:13" ht="12.75" customHeight="1">
      <c r="C920"/>
      <c r="M920"/>
    </row>
    <row r="921" spans="3:13" ht="12.75" customHeight="1">
      <c r="C921"/>
      <c r="M921"/>
    </row>
    <row r="922" spans="3:13" ht="12.75" customHeight="1">
      <c r="C922"/>
      <c r="M922"/>
    </row>
    <row r="923" spans="3:13" ht="12.75" customHeight="1">
      <c r="C923"/>
      <c r="M923"/>
    </row>
    <row r="924" spans="3:13" ht="12.75" customHeight="1">
      <c r="C924"/>
      <c r="M924"/>
    </row>
    <row r="925" spans="3:13" ht="12.75" customHeight="1">
      <c r="C925"/>
      <c r="M925"/>
    </row>
    <row r="926" spans="3:13" ht="12.75" customHeight="1">
      <c r="C926"/>
      <c r="M926"/>
    </row>
    <row r="927" spans="3:13" ht="12.75" customHeight="1">
      <c r="C927"/>
      <c r="M927"/>
    </row>
    <row r="928" spans="3:13" ht="12.75" customHeight="1">
      <c r="C928"/>
      <c r="M928"/>
    </row>
    <row r="929" spans="3:13" ht="12.75" customHeight="1">
      <c r="C929"/>
      <c r="M929"/>
    </row>
    <row r="930" spans="3:13" ht="12.75" customHeight="1">
      <c r="C930"/>
      <c r="M930"/>
    </row>
    <row r="931" spans="3:13" ht="12.75" customHeight="1">
      <c r="C931"/>
      <c r="M931"/>
    </row>
    <row r="932" spans="3:13" ht="12.75" customHeight="1">
      <c r="C932"/>
      <c r="M932"/>
    </row>
    <row r="933" spans="3:13" ht="12.75" customHeight="1">
      <c r="C933"/>
      <c r="M933"/>
    </row>
    <row r="934" spans="3:13" ht="12.75" customHeight="1">
      <c r="C934"/>
      <c r="M934"/>
    </row>
    <row r="935" spans="3:13" ht="12.75" customHeight="1">
      <c r="C935"/>
      <c r="M935"/>
    </row>
    <row r="936" spans="3:13" ht="12.75" customHeight="1">
      <c r="C936"/>
      <c r="M936"/>
    </row>
    <row r="937" spans="3:13" ht="12.75" customHeight="1">
      <c r="C937"/>
      <c r="M937"/>
    </row>
    <row r="938" spans="3:13" ht="12.75" customHeight="1">
      <c r="C938"/>
      <c r="M938"/>
    </row>
    <row r="939" spans="3:13" ht="12.75" customHeight="1">
      <c r="C939"/>
      <c r="M939"/>
    </row>
    <row r="940" spans="3:13" ht="12.75" customHeight="1">
      <c r="C940"/>
      <c r="M940"/>
    </row>
    <row r="941" spans="3:13" ht="12.75" customHeight="1">
      <c r="C941"/>
      <c r="M941"/>
    </row>
    <row r="942" spans="3:13" ht="12.75" customHeight="1">
      <c r="C942"/>
      <c r="M942"/>
    </row>
    <row r="943" spans="3:13" ht="12.75" customHeight="1">
      <c r="C943"/>
      <c r="M943"/>
    </row>
    <row r="944" spans="3:13" ht="12.75" customHeight="1">
      <c r="C944"/>
      <c r="M944"/>
    </row>
    <row r="945" spans="3:13" ht="12.75" customHeight="1">
      <c r="C945"/>
      <c r="M945"/>
    </row>
    <row r="946" spans="3:13" ht="12.75" customHeight="1">
      <c r="C946"/>
      <c r="M946"/>
    </row>
    <row r="947" spans="3:13" ht="12.75" customHeight="1">
      <c r="C947"/>
      <c r="M947"/>
    </row>
    <row r="948" spans="3:13" ht="12.75" customHeight="1">
      <c r="C948"/>
      <c r="M948"/>
    </row>
    <row r="949" spans="3:13" ht="12.75" customHeight="1">
      <c r="C949"/>
      <c r="M949"/>
    </row>
    <row r="950" spans="3:13" ht="12.75" customHeight="1">
      <c r="C950"/>
      <c r="M950"/>
    </row>
    <row r="951" spans="3:13" ht="12.75" customHeight="1">
      <c r="C951"/>
      <c r="M951"/>
    </row>
    <row r="952" spans="3:13" ht="12.75" customHeight="1">
      <c r="C952"/>
      <c r="M952"/>
    </row>
    <row r="953" spans="3:13" ht="12.75" customHeight="1">
      <c r="C953"/>
      <c r="M953"/>
    </row>
    <row r="954" spans="3:13" ht="12.75" customHeight="1">
      <c r="C954"/>
      <c r="M954"/>
    </row>
    <row r="955" spans="3:13" ht="12.75" customHeight="1">
      <c r="C955"/>
      <c r="M955"/>
    </row>
    <row r="956" spans="3:13" ht="12.75" customHeight="1">
      <c r="C956"/>
      <c r="M956"/>
    </row>
    <row r="957" spans="3:13" ht="12.75" customHeight="1">
      <c r="C957"/>
      <c r="M957"/>
    </row>
    <row r="958" spans="3:13" ht="12.75" customHeight="1">
      <c r="C958"/>
      <c r="M958"/>
    </row>
    <row r="959" spans="3:13" ht="12.75" customHeight="1">
      <c r="C959"/>
      <c r="M959"/>
    </row>
    <row r="960" spans="3:13" ht="12.75" customHeight="1">
      <c r="C960"/>
      <c r="M960"/>
    </row>
    <row r="961" spans="3:13" ht="12.75" customHeight="1">
      <c r="C961"/>
      <c r="M961"/>
    </row>
    <row r="962" spans="3:13" ht="12.75" customHeight="1">
      <c r="C962"/>
      <c r="M962"/>
    </row>
    <row r="963" spans="3:13" ht="12.75" customHeight="1">
      <c r="C963"/>
      <c r="M963"/>
    </row>
    <row r="964" spans="3:13" ht="12.75" customHeight="1">
      <c r="C964"/>
      <c r="M964"/>
    </row>
    <row r="965" spans="3:13" ht="12.75" customHeight="1">
      <c r="C965"/>
      <c r="M965"/>
    </row>
    <row r="966" spans="3:13" ht="12.75" customHeight="1">
      <c r="C966"/>
      <c r="M966"/>
    </row>
    <row r="967" spans="3:13" ht="12.75" customHeight="1">
      <c r="C967"/>
      <c r="M967"/>
    </row>
    <row r="968" spans="3:13" ht="12.75" customHeight="1">
      <c r="C968"/>
      <c r="M968"/>
    </row>
    <row r="969" spans="3:13" ht="12.75" customHeight="1">
      <c r="C969"/>
      <c r="M969"/>
    </row>
    <row r="970" spans="3:13" ht="12.75" customHeight="1">
      <c r="C970"/>
      <c r="M970"/>
    </row>
    <row r="971" spans="3:13" ht="12.75" customHeight="1">
      <c r="C971"/>
      <c r="M971"/>
    </row>
    <row r="972" spans="3:13" ht="12.75" customHeight="1">
      <c r="C972"/>
      <c r="M972"/>
    </row>
    <row r="973" spans="3:13" ht="12.75" customHeight="1">
      <c r="C973"/>
      <c r="M973"/>
    </row>
    <row r="974" spans="3:13" ht="12.75" customHeight="1">
      <c r="C974"/>
      <c r="M974"/>
    </row>
    <row r="975" spans="3:13" ht="12.75" customHeight="1">
      <c r="C975"/>
      <c r="M975"/>
    </row>
    <row r="976" spans="3:13" ht="12.75" customHeight="1">
      <c r="C976"/>
      <c r="M976"/>
    </row>
    <row r="977" spans="3:13" ht="12.75" customHeight="1">
      <c r="C977"/>
      <c r="M977"/>
    </row>
    <row r="978" spans="3:13" ht="12.75" customHeight="1">
      <c r="C978"/>
      <c r="M978"/>
    </row>
    <row r="979" spans="3:13" ht="12.75" customHeight="1">
      <c r="C979"/>
      <c r="M979"/>
    </row>
    <row r="980" spans="3:13" ht="12.75" customHeight="1">
      <c r="C980"/>
      <c r="M980"/>
    </row>
    <row r="981" spans="3:13" ht="12.75" customHeight="1">
      <c r="C981"/>
      <c r="M981"/>
    </row>
    <row r="982" spans="3:13" ht="12.75" customHeight="1">
      <c r="C982"/>
      <c r="M982"/>
    </row>
    <row r="983" spans="3:13" ht="12.75" customHeight="1">
      <c r="C983"/>
      <c r="M983"/>
    </row>
    <row r="984" spans="3:13" ht="12.75" customHeight="1">
      <c r="C984"/>
      <c r="M984"/>
    </row>
    <row r="985" spans="3:13" ht="12.75" customHeight="1">
      <c r="C985"/>
      <c r="M985"/>
    </row>
    <row r="986" spans="3:13" ht="12.75" customHeight="1">
      <c r="C986"/>
      <c r="M986"/>
    </row>
    <row r="987" spans="3:13" ht="12.75" customHeight="1">
      <c r="C987"/>
      <c r="M987"/>
    </row>
    <row r="988" spans="3:13" ht="12.75" customHeight="1">
      <c r="C988"/>
      <c r="M988"/>
    </row>
    <row r="989" spans="3:13" ht="12.75" customHeight="1">
      <c r="C989"/>
      <c r="M989"/>
    </row>
    <row r="990" spans="3:13" ht="12.75" customHeight="1">
      <c r="C990"/>
      <c r="M990"/>
    </row>
    <row r="991" spans="3:13" ht="12.75" customHeight="1">
      <c r="C991"/>
      <c r="M991"/>
    </row>
    <row r="992" spans="3:13" ht="12.75" customHeight="1">
      <c r="C992"/>
      <c r="M992"/>
    </row>
    <row r="993" spans="3:13" ht="12.75" customHeight="1">
      <c r="C993"/>
      <c r="M993"/>
    </row>
    <row r="994" spans="3:13" ht="12.75" customHeight="1">
      <c r="C994"/>
      <c r="M994"/>
    </row>
    <row r="995" spans="3:13" ht="12.75" customHeight="1">
      <c r="C995"/>
      <c r="M995"/>
    </row>
    <row r="996" spans="3:13" ht="12.75" customHeight="1">
      <c r="C996"/>
      <c r="M996"/>
    </row>
    <row r="997" spans="3:13" ht="12.75" customHeight="1">
      <c r="C997"/>
      <c r="M997"/>
    </row>
    <row r="998" spans="3:13" ht="12.75" customHeight="1">
      <c r="C998"/>
      <c r="M998"/>
    </row>
    <row r="999" spans="3:13" ht="12.75" customHeight="1">
      <c r="C999"/>
      <c r="M999"/>
    </row>
    <row r="1000" spans="3:13" ht="12.75" customHeight="1">
      <c r="C1000"/>
      <c r="M1000"/>
    </row>
    <row r="1001" spans="3:13" ht="12.75" customHeight="1">
      <c r="C1001"/>
      <c r="M1001"/>
    </row>
    <row r="1002" spans="3:13" ht="12.75" customHeight="1">
      <c r="C1002"/>
      <c r="M1002"/>
    </row>
    <row r="1003" spans="3:13" ht="12.75" customHeight="1">
      <c r="C1003"/>
      <c r="M1003"/>
    </row>
    <row r="1004" spans="3:13" ht="12.75" customHeight="1">
      <c r="C1004"/>
      <c r="M1004"/>
    </row>
    <row r="1005" spans="3:13" ht="12.75" customHeight="1">
      <c r="C1005"/>
      <c r="M1005"/>
    </row>
    <row r="1006" spans="3:13" ht="12.75" customHeight="1">
      <c r="C1006"/>
      <c r="M1006"/>
    </row>
    <row r="1007" spans="3:13" ht="12.75" customHeight="1">
      <c r="C1007"/>
      <c r="M1007"/>
    </row>
    <row r="1008" spans="3:13" ht="12.75" customHeight="1">
      <c r="C1008"/>
      <c r="M1008"/>
    </row>
    <row r="1009" spans="3:13" ht="12.75" customHeight="1">
      <c r="C1009"/>
      <c r="M1009"/>
    </row>
    <row r="1010" spans="3:13" ht="12.75" customHeight="1">
      <c r="C1010"/>
      <c r="M1010"/>
    </row>
    <row r="1011" spans="3:13" ht="12.75" customHeight="1">
      <c r="C1011"/>
      <c r="M1011"/>
    </row>
    <row r="1012" spans="3:13" ht="12.75" customHeight="1">
      <c r="C1012"/>
      <c r="M1012"/>
    </row>
    <row r="1013" spans="3:13" ht="12.75" customHeight="1">
      <c r="C1013"/>
      <c r="M1013"/>
    </row>
    <row r="1014" spans="3:13" ht="12.75" customHeight="1">
      <c r="C1014"/>
      <c r="M1014"/>
    </row>
    <row r="1015" spans="3:13" ht="12.75" customHeight="1">
      <c r="C1015"/>
      <c r="M1015"/>
    </row>
    <row r="1016" spans="3:13" ht="12.75" customHeight="1">
      <c r="C1016"/>
      <c r="M1016"/>
    </row>
    <row r="1017" spans="3:13" ht="12.75" customHeight="1">
      <c r="C1017"/>
      <c r="M1017"/>
    </row>
    <row r="1018" spans="3:13" ht="12.75" customHeight="1">
      <c r="C1018"/>
      <c r="M1018"/>
    </row>
    <row r="1019" spans="3:13" ht="12.75" customHeight="1">
      <c r="C1019"/>
      <c r="M1019"/>
    </row>
    <row r="1020" spans="3:13" ht="12.75" customHeight="1">
      <c r="C1020"/>
      <c r="M1020"/>
    </row>
    <row r="1021" spans="3:13" ht="12.75" customHeight="1">
      <c r="C1021"/>
      <c r="M1021"/>
    </row>
    <row r="1022" spans="3:13" ht="12.75" customHeight="1">
      <c r="C1022"/>
      <c r="M1022"/>
    </row>
    <row r="1023" spans="3:13" ht="12.75" customHeight="1">
      <c r="C1023"/>
      <c r="M1023"/>
    </row>
    <row r="1024" spans="3:13" ht="12.75" customHeight="1">
      <c r="C1024"/>
      <c r="M1024"/>
    </row>
    <row r="1025" spans="3:13" ht="12.75" customHeight="1">
      <c r="C1025"/>
      <c r="M1025"/>
    </row>
    <row r="1026" spans="3:13" ht="12.75" customHeight="1">
      <c r="C1026"/>
      <c r="M1026"/>
    </row>
    <row r="1027" spans="3:13" ht="12.75" customHeight="1">
      <c r="C1027"/>
      <c r="M1027"/>
    </row>
    <row r="1028" spans="3:13" ht="12.75" customHeight="1">
      <c r="C1028"/>
      <c r="M1028"/>
    </row>
    <row r="1029" spans="3:13" ht="12.75" customHeight="1">
      <c r="C1029"/>
      <c r="M1029"/>
    </row>
    <row r="1030" spans="3:13" ht="12.75" customHeight="1">
      <c r="C1030"/>
      <c r="M1030"/>
    </row>
    <row r="1031" spans="3:13" ht="12.75" customHeight="1">
      <c r="C1031"/>
      <c r="M1031"/>
    </row>
    <row r="1032" spans="3:13" ht="12.75" customHeight="1">
      <c r="C1032"/>
      <c r="M1032"/>
    </row>
    <row r="1033" spans="3:13" ht="12.75" customHeight="1">
      <c r="C1033"/>
      <c r="M1033"/>
    </row>
    <row r="1034" spans="3:13" ht="12.75" customHeight="1">
      <c r="C1034"/>
      <c r="M1034"/>
    </row>
    <row r="1035" spans="3:13" ht="12.75" customHeight="1">
      <c r="C1035"/>
      <c r="M1035"/>
    </row>
    <row r="1036" spans="3:13" ht="12.75" customHeight="1">
      <c r="C1036"/>
      <c r="M1036"/>
    </row>
    <row r="1037" spans="3:13" ht="12.75" customHeight="1">
      <c r="C1037"/>
      <c r="M1037"/>
    </row>
    <row r="1038" spans="3:13" ht="12.75" customHeight="1">
      <c r="C1038"/>
      <c r="M1038"/>
    </row>
    <row r="1039" spans="3:13" ht="12.75" customHeight="1">
      <c r="C1039"/>
      <c r="M1039"/>
    </row>
    <row r="1040" spans="3:13" ht="12.75" customHeight="1">
      <c r="C1040"/>
      <c r="M1040"/>
    </row>
    <row r="1041" spans="3:13" ht="12.75" customHeight="1">
      <c r="C1041"/>
      <c r="M1041"/>
    </row>
    <row r="1042" spans="3:13" ht="12.75" customHeight="1">
      <c r="C1042"/>
      <c r="M1042"/>
    </row>
    <row r="1043" spans="3:13" ht="12.75" customHeight="1">
      <c r="C1043"/>
      <c r="M1043"/>
    </row>
    <row r="1044" spans="3:13" ht="12.75" customHeight="1">
      <c r="C1044"/>
      <c r="M1044"/>
    </row>
    <row r="1045" spans="3:13" ht="12.75" customHeight="1">
      <c r="C1045"/>
      <c r="M1045"/>
    </row>
    <row r="1046" spans="3:13" ht="12.75" customHeight="1">
      <c r="C1046"/>
      <c r="M1046"/>
    </row>
    <row r="1047" spans="3:13" ht="12.75" customHeight="1">
      <c r="C1047"/>
      <c r="M1047"/>
    </row>
    <row r="1048" spans="3:13" ht="12.75" customHeight="1">
      <c r="C1048"/>
      <c r="M1048"/>
    </row>
    <row r="1049" spans="3:13" ht="12.75" customHeight="1">
      <c r="C1049"/>
      <c r="M1049"/>
    </row>
    <row r="1050" spans="3:13" ht="12.75" customHeight="1">
      <c r="C1050"/>
      <c r="M1050"/>
    </row>
    <row r="1051" spans="3:13" ht="12.75" customHeight="1">
      <c r="C1051"/>
      <c r="M1051"/>
    </row>
    <row r="1052" spans="3:13" ht="12.75" customHeight="1">
      <c r="C1052"/>
      <c r="M1052"/>
    </row>
    <row r="1053" spans="3:13" ht="12.75" customHeight="1">
      <c r="C1053"/>
      <c r="M1053"/>
    </row>
    <row r="1054" spans="3:13" ht="12.75" customHeight="1">
      <c r="C1054"/>
      <c r="M1054"/>
    </row>
    <row r="1055" spans="3:13" ht="12.75" customHeight="1">
      <c r="C1055"/>
      <c r="M1055"/>
    </row>
    <row r="1056" spans="3:13" ht="12.75" customHeight="1">
      <c r="C1056"/>
      <c r="M1056"/>
    </row>
    <row r="1057" spans="3:13" ht="12.75" customHeight="1">
      <c r="C1057"/>
      <c r="M1057"/>
    </row>
    <row r="1058" spans="3:13" ht="12.75" customHeight="1">
      <c r="C1058"/>
      <c r="M1058"/>
    </row>
    <row r="1059" spans="3:13" ht="12.75" customHeight="1">
      <c r="C1059"/>
      <c r="M1059"/>
    </row>
    <row r="1060" spans="3:13" ht="12.75" customHeight="1">
      <c r="C1060"/>
      <c r="M1060"/>
    </row>
    <row r="1061" spans="3:13" ht="12.75" customHeight="1">
      <c r="C1061"/>
      <c r="M1061"/>
    </row>
    <row r="1062" spans="3:13" ht="12.75" customHeight="1">
      <c r="C1062"/>
      <c r="M1062"/>
    </row>
    <row r="1063" spans="3:13" ht="12.75" customHeight="1">
      <c r="C1063"/>
      <c r="M1063"/>
    </row>
    <row r="1064" spans="3:13" ht="12.75" customHeight="1">
      <c r="C1064"/>
      <c r="M1064"/>
    </row>
    <row r="1065" spans="3:13" ht="12.75" customHeight="1">
      <c r="C1065"/>
      <c r="M1065"/>
    </row>
    <row r="1066" spans="3:13" ht="12.75" customHeight="1">
      <c r="C1066"/>
      <c r="M1066"/>
    </row>
    <row r="1067" spans="3:13" ht="12.75" customHeight="1">
      <c r="C1067"/>
      <c r="M1067"/>
    </row>
    <row r="1068" spans="3:13" ht="12.75" customHeight="1">
      <c r="C1068"/>
      <c r="M1068"/>
    </row>
    <row r="1069" spans="3:13" ht="12.75" customHeight="1">
      <c r="C1069"/>
      <c r="M1069"/>
    </row>
    <row r="1070" spans="3:13" ht="12.75" customHeight="1">
      <c r="C1070"/>
      <c r="M1070"/>
    </row>
    <row r="1071" spans="3:13" ht="12.75" customHeight="1">
      <c r="C1071"/>
      <c r="M1071"/>
    </row>
    <row r="1072" spans="3:13" ht="12.75" customHeight="1">
      <c r="C1072"/>
      <c r="M1072"/>
    </row>
    <row r="1073" spans="3:13" ht="12.75" customHeight="1">
      <c r="C1073"/>
      <c r="M1073"/>
    </row>
    <row r="1074" spans="3:13" ht="12.75" customHeight="1">
      <c r="C1074"/>
      <c r="M1074"/>
    </row>
    <row r="1075" spans="3:13" ht="12.75" customHeight="1">
      <c r="C1075"/>
      <c r="M1075"/>
    </row>
    <row r="1076" spans="3:13" ht="12.75" customHeight="1">
      <c r="C1076"/>
      <c r="M1076"/>
    </row>
    <row r="1077" spans="3:13" ht="12.75" customHeight="1">
      <c r="C1077"/>
      <c r="M1077"/>
    </row>
    <row r="1078" spans="3:13" ht="12.75" customHeight="1">
      <c r="C1078"/>
      <c r="M1078"/>
    </row>
    <row r="1079" spans="3:13" ht="12.75" customHeight="1">
      <c r="C1079"/>
      <c r="M1079"/>
    </row>
    <row r="1080" spans="3:13" ht="12.75" customHeight="1">
      <c r="C1080"/>
      <c r="M1080"/>
    </row>
    <row r="1081" spans="3:13" ht="12.75" customHeight="1">
      <c r="C1081"/>
      <c r="M1081"/>
    </row>
    <row r="1082" spans="3:13" ht="12.75" customHeight="1">
      <c r="C1082"/>
      <c r="M1082"/>
    </row>
    <row r="1083" spans="3:13" ht="12.75" customHeight="1">
      <c r="C1083"/>
      <c r="M1083"/>
    </row>
    <row r="1084" spans="3:13" ht="12.75" customHeight="1">
      <c r="C1084"/>
      <c r="M1084"/>
    </row>
    <row r="1085" spans="3:13" ht="12.75" customHeight="1">
      <c r="C1085"/>
      <c r="M1085"/>
    </row>
    <row r="1086" spans="3:13" ht="12.75" customHeight="1">
      <c r="C1086"/>
      <c r="M1086"/>
    </row>
    <row r="1087" spans="3:13" ht="12.75" customHeight="1">
      <c r="C1087"/>
      <c r="M1087"/>
    </row>
    <row r="1088" spans="3:13" ht="12.75" customHeight="1">
      <c r="C1088"/>
      <c r="M1088"/>
    </row>
    <row r="1089" spans="3:13" ht="12.75" customHeight="1">
      <c r="C1089"/>
      <c r="M1089"/>
    </row>
    <row r="1090" spans="3:13" ht="12.75" customHeight="1">
      <c r="C1090"/>
      <c r="M1090"/>
    </row>
    <row r="1091" spans="3:13" ht="12.75" customHeight="1">
      <c r="C1091"/>
      <c r="M1091"/>
    </row>
    <row r="1092" spans="3:13" ht="12.75" customHeight="1">
      <c r="C1092"/>
      <c r="M1092"/>
    </row>
    <row r="1093" spans="3:13" ht="12.75" customHeight="1">
      <c r="C1093"/>
      <c r="M1093"/>
    </row>
    <row r="1094" spans="3:13" ht="12.75" customHeight="1">
      <c r="C1094"/>
      <c r="M1094"/>
    </row>
    <row r="1095" spans="3:13" ht="12.75" customHeight="1">
      <c r="C1095"/>
      <c r="M1095"/>
    </row>
    <row r="1096" spans="3:13" ht="12.75" customHeight="1">
      <c r="C1096"/>
      <c r="M1096"/>
    </row>
    <row r="1097" spans="3:13" ht="12.75" customHeight="1">
      <c r="C1097"/>
      <c r="M1097"/>
    </row>
    <row r="1098" spans="3:13" ht="12.75" customHeight="1">
      <c r="C1098"/>
      <c r="M1098"/>
    </row>
    <row r="1099" spans="3:13" ht="12.75" customHeight="1">
      <c r="C1099"/>
      <c r="M1099"/>
    </row>
    <row r="1100" spans="3:13" ht="12.75" customHeight="1">
      <c r="C1100"/>
      <c r="M1100"/>
    </row>
    <row r="1101" spans="3:13" ht="12.75" customHeight="1">
      <c r="C1101"/>
      <c r="M1101"/>
    </row>
    <row r="1102" spans="3:13" ht="12.75" customHeight="1">
      <c r="C1102"/>
      <c r="M1102"/>
    </row>
    <row r="1103" spans="3:13" ht="12.75" customHeight="1">
      <c r="C1103"/>
      <c r="M1103"/>
    </row>
    <row r="1104" spans="3:13" ht="12.75" customHeight="1">
      <c r="C1104"/>
      <c r="M1104"/>
    </row>
    <row r="1105" spans="3:13" ht="12.75" customHeight="1">
      <c r="C1105"/>
      <c r="M1105"/>
    </row>
    <row r="1106" spans="3:13" ht="12.75" customHeight="1">
      <c r="C1106"/>
      <c r="M1106"/>
    </row>
    <row r="1107" spans="3:13" ht="12.75" customHeight="1">
      <c r="C1107"/>
      <c r="M1107"/>
    </row>
    <row r="1108" spans="3:13" ht="12.75" customHeight="1">
      <c r="C1108"/>
      <c r="M1108"/>
    </row>
    <row r="1109" spans="3:13" ht="12.75" customHeight="1">
      <c r="C1109"/>
      <c r="M1109"/>
    </row>
    <row r="1110" spans="3:13" ht="12.75" customHeight="1">
      <c r="C1110"/>
      <c r="M1110"/>
    </row>
    <row r="1111" spans="3:13" ht="12.75" customHeight="1">
      <c r="C1111"/>
      <c r="M1111"/>
    </row>
    <row r="1112" spans="3:13" ht="12.75" customHeight="1">
      <c r="C1112"/>
      <c r="M1112"/>
    </row>
    <row r="1113" spans="3:13" ht="12.75" customHeight="1">
      <c r="C1113"/>
      <c r="M1113"/>
    </row>
    <row r="1114" spans="3:13" ht="12.75" customHeight="1">
      <c r="C1114"/>
      <c r="M1114"/>
    </row>
    <row r="1115" spans="3:13" ht="12.75" customHeight="1">
      <c r="C1115"/>
      <c r="M1115"/>
    </row>
    <row r="1116" spans="3:13" ht="12.75" customHeight="1">
      <c r="C1116"/>
      <c r="M1116"/>
    </row>
    <row r="1117" spans="3:13" ht="12.75" customHeight="1">
      <c r="C1117"/>
      <c r="M1117"/>
    </row>
    <row r="1118" spans="3:13" ht="12.75" customHeight="1">
      <c r="C1118"/>
      <c r="M1118"/>
    </row>
    <row r="1119" spans="3:13" ht="12.75" customHeight="1">
      <c r="C1119"/>
      <c r="M1119"/>
    </row>
    <row r="1120" spans="3:13" ht="12.75" customHeight="1">
      <c r="C1120"/>
      <c r="M1120"/>
    </row>
    <row r="1121" spans="3:13" ht="12.75" customHeight="1">
      <c r="C1121"/>
      <c r="M1121"/>
    </row>
    <row r="1122" spans="3:13" ht="12.75" customHeight="1">
      <c r="C1122"/>
      <c r="M1122"/>
    </row>
    <row r="1123" spans="3:13" ht="12.75" customHeight="1">
      <c r="C1123"/>
      <c r="M1123"/>
    </row>
    <row r="1124" spans="3:13" ht="12.75" customHeight="1">
      <c r="C1124"/>
      <c r="M1124"/>
    </row>
    <row r="1125" spans="3:13" ht="12.75" customHeight="1">
      <c r="C1125"/>
      <c r="M1125"/>
    </row>
    <row r="1126" spans="3:13" ht="12.75" customHeight="1">
      <c r="C1126"/>
      <c r="M1126"/>
    </row>
    <row r="1127" spans="3:13" ht="12.75" customHeight="1">
      <c r="C1127"/>
      <c r="M1127"/>
    </row>
    <row r="1128" spans="3:13" ht="12.75" customHeight="1">
      <c r="C1128"/>
      <c r="M1128"/>
    </row>
    <row r="1129" spans="3:13" ht="12.75" customHeight="1">
      <c r="C1129"/>
      <c r="M1129"/>
    </row>
    <row r="1130" spans="3:13" ht="12.75" customHeight="1">
      <c r="C1130"/>
      <c r="M1130"/>
    </row>
    <row r="1131" spans="3:13" ht="12.75" customHeight="1">
      <c r="C1131"/>
      <c r="M1131"/>
    </row>
    <row r="1132" spans="3:13" ht="12.75" customHeight="1">
      <c r="C1132"/>
      <c r="M1132"/>
    </row>
    <row r="1133" spans="3:13" ht="12.75" customHeight="1">
      <c r="C1133"/>
      <c r="M1133"/>
    </row>
    <row r="1134" spans="3:13" ht="12.75" customHeight="1">
      <c r="C1134"/>
      <c r="M1134"/>
    </row>
    <row r="1135" spans="3:13" ht="12.75" customHeight="1">
      <c r="C1135"/>
      <c r="M1135"/>
    </row>
    <row r="1136" spans="3:13" ht="12.75" customHeight="1">
      <c r="C1136"/>
      <c r="M1136"/>
    </row>
    <row r="1137" spans="3:13" ht="12.75" customHeight="1">
      <c r="C1137"/>
      <c r="M1137"/>
    </row>
    <row r="1138" spans="3:13" ht="12.75" customHeight="1">
      <c r="C1138"/>
      <c r="M1138"/>
    </row>
    <row r="1139" spans="3:13" ht="12.75" customHeight="1">
      <c r="C1139"/>
      <c r="M1139"/>
    </row>
    <row r="1140" spans="3:13" ht="12.75" customHeight="1">
      <c r="C1140"/>
      <c r="M1140"/>
    </row>
    <row r="1141" spans="3:13" ht="12.75" customHeight="1">
      <c r="C1141"/>
      <c r="M1141"/>
    </row>
    <row r="1142" spans="3:13" ht="12.75" customHeight="1">
      <c r="C1142"/>
      <c r="M1142"/>
    </row>
    <row r="1143" spans="3:13" ht="12.75" customHeight="1">
      <c r="C1143"/>
      <c r="M1143"/>
    </row>
    <row r="1144" spans="3:13" ht="12.75" customHeight="1">
      <c r="C1144"/>
      <c r="M1144"/>
    </row>
    <row r="1145" spans="3:13" ht="12.75" customHeight="1">
      <c r="C1145"/>
      <c r="M1145"/>
    </row>
    <row r="1146" spans="3:13" ht="12.75" customHeight="1">
      <c r="C1146"/>
      <c r="M1146"/>
    </row>
    <row r="1147" spans="3:13" ht="12.75" customHeight="1">
      <c r="C1147"/>
      <c r="M1147"/>
    </row>
    <row r="1148" spans="3:13" ht="12.75" customHeight="1">
      <c r="C1148"/>
      <c r="M1148"/>
    </row>
    <row r="1149" spans="3:13" ht="12.75" customHeight="1">
      <c r="C1149"/>
      <c r="M1149"/>
    </row>
    <row r="1150" spans="3:13" ht="12.75" customHeight="1">
      <c r="C1150"/>
      <c r="M1150"/>
    </row>
    <row r="1151" spans="3:13" ht="12.75" customHeight="1">
      <c r="C1151"/>
      <c r="M1151"/>
    </row>
    <row r="1152" spans="3:13" ht="12.75" customHeight="1">
      <c r="C1152"/>
      <c r="M1152"/>
    </row>
    <row r="1153" spans="3:13" ht="12.75" customHeight="1">
      <c r="C1153"/>
      <c r="M1153"/>
    </row>
    <row r="1154" spans="3:13" ht="12.75" customHeight="1">
      <c r="C1154"/>
      <c r="M1154"/>
    </row>
    <row r="1155" spans="3:13" ht="12.75" customHeight="1">
      <c r="C1155"/>
      <c r="M1155"/>
    </row>
    <row r="1156" spans="3:13" ht="12.75" customHeight="1">
      <c r="C1156"/>
      <c r="M1156"/>
    </row>
    <row r="1157" spans="3:13" ht="12.75" customHeight="1">
      <c r="C1157"/>
      <c r="M1157"/>
    </row>
    <row r="1158" spans="3:13" ht="12.75" customHeight="1">
      <c r="C1158"/>
      <c r="M1158"/>
    </row>
    <row r="1159" spans="3:13" ht="12.75" customHeight="1">
      <c r="C1159"/>
      <c r="M1159"/>
    </row>
    <row r="1160" spans="3:13" ht="12.75" customHeight="1">
      <c r="C1160"/>
      <c r="M1160"/>
    </row>
    <row r="1161" spans="3:13" ht="12.75" customHeight="1">
      <c r="C1161"/>
      <c r="M1161"/>
    </row>
    <row r="1162" spans="3:13" ht="12.75" customHeight="1">
      <c r="C1162"/>
      <c r="M1162"/>
    </row>
    <row r="1163" spans="3:13" ht="12.75" customHeight="1">
      <c r="C1163"/>
      <c r="M1163"/>
    </row>
    <row r="1164" spans="3:13" ht="12.75" customHeight="1">
      <c r="C1164"/>
      <c r="M1164"/>
    </row>
    <row r="1165" spans="3:13" ht="12.75" customHeight="1">
      <c r="C1165"/>
      <c r="M1165"/>
    </row>
    <row r="1166" spans="3:13" ht="12.75" customHeight="1">
      <c r="C1166"/>
      <c r="M1166"/>
    </row>
    <row r="1167" spans="3:13" ht="12.75" customHeight="1">
      <c r="C1167"/>
      <c r="M1167"/>
    </row>
    <row r="1168" spans="3:13" ht="12.75" customHeight="1">
      <c r="C1168"/>
      <c r="M1168"/>
    </row>
    <row r="1169" spans="3:13" ht="12.75" customHeight="1">
      <c r="C1169"/>
      <c r="M1169"/>
    </row>
    <row r="1170" spans="3:13" ht="12.75" customHeight="1">
      <c r="C1170"/>
      <c r="M1170"/>
    </row>
    <row r="1171" spans="3:13" ht="12.75" customHeight="1">
      <c r="C1171"/>
      <c r="M1171"/>
    </row>
    <row r="1172" spans="3:13" ht="12.75" customHeight="1">
      <c r="C1172"/>
      <c r="M1172"/>
    </row>
    <row r="1173" spans="3:13" ht="12.75" customHeight="1">
      <c r="C1173"/>
      <c r="M1173"/>
    </row>
    <row r="1174" spans="3:13" ht="12.75" customHeight="1">
      <c r="C1174"/>
      <c r="M1174"/>
    </row>
    <row r="1175" spans="3:13" ht="12.75" customHeight="1">
      <c r="C1175"/>
      <c r="M1175"/>
    </row>
    <row r="1176" spans="3:13" ht="12.75" customHeight="1">
      <c r="C1176"/>
      <c r="M1176"/>
    </row>
    <row r="1177" spans="3:13" ht="12.75" customHeight="1">
      <c r="C1177"/>
      <c r="M1177"/>
    </row>
    <row r="1178" spans="3:13" ht="12.75" customHeight="1">
      <c r="C1178"/>
      <c r="M1178"/>
    </row>
    <row r="1179" spans="3:13" ht="12.75" customHeight="1">
      <c r="C1179"/>
      <c r="M1179"/>
    </row>
    <row r="1180" spans="3:13" ht="12.75" customHeight="1">
      <c r="C1180"/>
      <c r="M1180"/>
    </row>
    <row r="1181" spans="3:13" ht="12.75" customHeight="1">
      <c r="C1181"/>
      <c r="M1181"/>
    </row>
    <row r="1182" spans="3:13" ht="12.75" customHeight="1">
      <c r="C1182"/>
      <c r="M1182"/>
    </row>
    <row r="1183" spans="3:13" ht="12.75" customHeight="1">
      <c r="C1183"/>
      <c r="M1183"/>
    </row>
    <row r="1184" spans="3:13" ht="12.75" customHeight="1">
      <c r="C1184"/>
      <c r="M1184"/>
    </row>
    <row r="1185" spans="3:13" ht="12.75" customHeight="1">
      <c r="C1185"/>
      <c r="M1185"/>
    </row>
    <row r="1186" spans="3:13" ht="12.75" customHeight="1">
      <c r="C1186"/>
      <c r="M1186"/>
    </row>
    <row r="1187" spans="3:13" ht="12.75" customHeight="1">
      <c r="C1187"/>
      <c r="M1187"/>
    </row>
    <row r="1188" spans="3:13" ht="12.75" customHeight="1">
      <c r="C1188"/>
      <c r="M1188"/>
    </row>
    <row r="1189" spans="3:13" ht="12.75" customHeight="1">
      <c r="C1189"/>
      <c r="M1189"/>
    </row>
    <row r="1190" spans="3:13" ht="12.75" customHeight="1">
      <c r="C1190"/>
      <c r="M1190"/>
    </row>
    <row r="1191" spans="3:13" ht="12.75" customHeight="1">
      <c r="C1191"/>
      <c r="M1191"/>
    </row>
    <row r="1192" spans="3:13" ht="12.75" customHeight="1">
      <c r="C1192"/>
      <c r="M1192"/>
    </row>
    <row r="1193" spans="3:13" ht="12.75" customHeight="1">
      <c r="C1193"/>
      <c r="M1193"/>
    </row>
    <row r="1194" spans="3:13" ht="12.75" customHeight="1">
      <c r="C1194"/>
      <c r="M1194"/>
    </row>
    <row r="1195" spans="3:13" ht="12.75" customHeight="1">
      <c r="C1195"/>
      <c r="M1195"/>
    </row>
    <row r="1196" spans="3:13" ht="12.75" customHeight="1">
      <c r="C1196"/>
      <c r="M1196"/>
    </row>
    <row r="1197" spans="3:13" ht="12.75" customHeight="1">
      <c r="C1197"/>
      <c r="M1197"/>
    </row>
    <row r="1198" spans="3:13" ht="12.75" customHeight="1">
      <c r="C1198"/>
      <c r="M1198"/>
    </row>
    <row r="1199" spans="3:13" ht="12.75" customHeight="1">
      <c r="C1199"/>
      <c r="M1199"/>
    </row>
    <row r="1200" spans="3:13" ht="12.75" customHeight="1">
      <c r="C1200"/>
      <c r="M1200"/>
    </row>
    <row r="1201" spans="3:13" ht="12.75" customHeight="1">
      <c r="C1201"/>
      <c r="M1201"/>
    </row>
    <row r="1202" spans="3:13" ht="12.75" customHeight="1">
      <c r="C1202"/>
      <c r="M1202"/>
    </row>
    <row r="1203" spans="3:13" ht="12.75" customHeight="1">
      <c r="C1203"/>
      <c r="M1203"/>
    </row>
    <row r="1204" spans="3:13" ht="12.75" customHeight="1">
      <c r="C1204"/>
      <c r="M1204"/>
    </row>
    <row r="1205" spans="3:13" ht="12.75" customHeight="1">
      <c r="C1205"/>
      <c r="M1205"/>
    </row>
    <row r="1206" spans="3:13" ht="12.75" customHeight="1">
      <c r="C1206"/>
      <c r="M1206"/>
    </row>
    <row r="1207" spans="3:13" ht="12.75" customHeight="1">
      <c r="C1207"/>
      <c r="M1207"/>
    </row>
    <row r="1208" spans="3:13" ht="12.75" customHeight="1">
      <c r="C1208"/>
      <c r="M1208"/>
    </row>
    <row r="1209" spans="3:13" ht="12.75" customHeight="1">
      <c r="C1209"/>
      <c r="M1209"/>
    </row>
    <row r="1210" spans="3:13" ht="12.75" customHeight="1">
      <c r="C1210"/>
      <c r="M1210"/>
    </row>
    <row r="1211" spans="3:13" ht="12.75" customHeight="1">
      <c r="C1211"/>
      <c r="M1211"/>
    </row>
    <row r="1212" spans="3:13" ht="12.75" customHeight="1">
      <c r="C1212"/>
      <c r="M1212"/>
    </row>
    <row r="1213" spans="3:13" ht="12.75" customHeight="1">
      <c r="C1213"/>
      <c r="M1213"/>
    </row>
    <row r="1214" spans="3:13" ht="12.75" customHeight="1">
      <c r="C1214"/>
      <c r="M1214"/>
    </row>
    <row r="1215" spans="3:13" ht="12.75" customHeight="1">
      <c r="C1215"/>
      <c r="M1215"/>
    </row>
    <row r="1216" spans="3:13" ht="12.75" customHeight="1">
      <c r="C1216"/>
      <c r="M1216"/>
    </row>
    <row r="1217" spans="3:13" ht="12.75" customHeight="1">
      <c r="C1217"/>
      <c r="M1217"/>
    </row>
    <row r="1218" spans="3:13" ht="12.75" customHeight="1">
      <c r="C1218"/>
      <c r="M1218"/>
    </row>
    <row r="1219" spans="3:13" ht="12.75" customHeight="1">
      <c r="C1219"/>
      <c r="M1219"/>
    </row>
    <row r="1220" spans="3:13" ht="12.75" customHeight="1">
      <c r="C1220"/>
      <c r="M1220"/>
    </row>
    <row r="1221" spans="3:13" ht="12.75" customHeight="1">
      <c r="C1221"/>
      <c r="M1221"/>
    </row>
    <row r="1222" spans="3:13" ht="12.75" customHeight="1">
      <c r="C1222"/>
      <c r="M1222"/>
    </row>
    <row r="1223" spans="3:13" ht="12.75" customHeight="1">
      <c r="C1223"/>
      <c r="M1223"/>
    </row>
    <row r="1224" spans="3:13" ht="12.75" customHeight="1">
      <c r="C1224"/>
      <c r="M1224"/>
    </row>
    <row r="1225" spans="3:13" ht="12.75" customHeight="1">
      <c r="C1225"/>
      <c r="M1225"/>
    </row>
    <row r="1226" spans="3:13" ht="12.75" customHeight="1">
      <c r="C1226"/>
      <c r="M1226"/>
    </row>
    <row r="1227" spans="3:13" ht="12.75" customHeight="1">
      <c r="C1227"/>
      <c r="M1227"/>
    </row>
    <row r="1228" spans="3:13" ht="12.75" customHeight="1">
      <c r="C1228"/>
      <c r="M1228"/>
    </row>
    <row r="1229" spans="3:13" ht="12.75" customHeight="1">
      <c r="C1229"/>
      <c r="M1229"/>
    </row>
    <row r="1230" spans="3:13" ht="12.75" customHeight="1">
      <c r="C1230"/>
      <c r="M1230"/>
    </row>
    <row r="1231" spans="3:13" ht="12.75" customHeight="1">
      <c r="C1231"/>
      <c r="M1231"/>
    </row>
    <row r="1232" spans="3:13" ht="12.75" customHeight="1">
      <c r="C1232"/>
      <c r="M1232"/>
    </row>
    <row r="1233" spans="3:13" ht="12.75" customHeight="1">
      <c r="C1233"/>
      <c r="M1233"/>
    </row>
    <row r="1234" spans="3:13" ht="12.75" customHeight="1">
      <c r="C1234"/>
      <c r="M1234"/>
    </row>
    <row r="1235" spans="3:13" ht="12.75" customHeight="1">
      <c r="C1235"/>
      <c r="M1235"/>
    </row>
    <row r="1236" spans="3:13" ht="12.75" customHeight="1">
      <c r="C1236"/>
      <c r="M1236"/>
    </row>
    <row r="1237" spans="3:13" ht="12.75" customHeight="1">
      <c r="C1237"/>
      <c r="M1237"/>
    </row>
    <row r="1238" spans="3:13" ht="12.75" customHeight="1">
      <c r="C1238"/>
      <c r="M1238"/>
    </row>
    <row r="1239" spans="3:13" ht="12.75" customHeight="1">
      <c r="C1239"/>
      <c r="M1239"/>
    </row>
    <row r="1240" spans="3:13" ht="12.75" customHeight="1">
      <c r="C1240"/>
      <c r="M1240"/>
    </row>
    <row r="1241" spans="3:13" ht="12.75" customHeight="1">
      <c r="C1241"/>
      <c r="M1241"/>
    </row>
    <row r="1242" spans="3:13" ht="12.75" customHeight="1">
      <c r="C1242"/>
      <c r="M1242"/>
    </row>
    <row r="1243" spans="3:13" ht="12.75" customHeight="1">
      <c r="C1243"/>
      <c r="M1243"/>
    </row>
    <row r="1244" spans="3:13" ht="12.75" customHeight="1">
      <c r="C1244"/>
      <c r="M1244"/>
    </row>
    <row r="1245" spans="3:13" ht="12.75" customHeight="1">
      <c r="C1245"/>
      <c r="M1245"/>
    </row>
    <row r="1246" spans="3:13" ht="12.75" customHeight="1">
      <c r="C1246"/>
      <c r="M1246"/>
    </row>
    <row r="1247" spans="3:13" ht="12.75" customHeight="1">
      <c r="C1247"/>
      <c r="M1247"/>
    </row>
    <row r="1248" spans="3:13" ht="12.75" customHeight="1">
      <c r="C1248"/>
      <c r="M1248"/>
    </row>
    <row r="1249" spans="3:13" ht="12.75" customHeight="1">
      <c r="C1249"/>
      <c r="M1249"/>
    </row>
    <row r="1250" spans="3:13" ht="12.75" customHeight="1">
      <c r="C1250"/>
      <c r="M1250"/>
    </row>
    <row r="1251" spans="3:13" ht="12.75" customHeight="1">
      <c r="C1251"/>
      <c r="M1251"/>
    </row>
    <row r="1252" spans="3:13" ht="12.75" customHeight="1">
      <c r="C1252"/>
      <c r="M1252"/>
    </row>
    <row r="1253" spans="3:13" ht="12.75" customHeight="1">
      <c r="C1253"/>
      <c r="M1253"/>
    </row>
    <row r="1254" spans="3:13" ht="12.75" customHeight="1">
      <c r="C1254"/>
      <c r="M1254"/>
    </row>
    <row r="1255" spans="3:13" ht="12.75" customHeight="1">
      <c r="C1255"/>
      <c r="M1255"/>
    </row>
    <row r="1256" spans="3:13" ht="12.75" customHeight="1">
      <c r="C1256"/>
      <c r="M1256"/>
    </row>
    <row r="1257" spans="3:13" ht="12.75" customHeight="1">
      <c r="C1257"/>
      <c r="M1257"/>
    </row>
    <row r="1258" spans="3:13" ht="12.75" customHeight="1">
      <c r="C1258"/>
      <c r="M1258"/>
    </row>
    <row r="1259" spans="3:13" ht="12.75" customHeight="1">
      <c r="C1259"/>
      <c r="M1259"/>
    </row>
    <row r="1260" spans="3:13" ht="12.75" customHeight="1">
      <c r="C1260"/>
      <c r="M1260"/>
    </row>
    <row r="1261" spans="3:13" ht="12.75" customHeight="1">
      <c r="C1261"/>
      <c r="M1261"/>
    </row>
    <row r="1262" spans="3:13" ht="12.75" customHeight="1">
      <c r="C1262"/>
      <c r="M1262"/>
    </row>
    <row r="1263" spans="3:13" ht="12.75" customHeight="1">
      <c r="C1263"/>
      <c r="M1263"/>
    </row>
    <row r="1264" spans="3:13" ht="12.75" customHeight="1">
      <c r="C1264"/>
      <c r="M1264"/>
    </row>
    <row r="1265" spans="3:13" ht="12.75" customHeight="1">
      <c r="C1265"/>
      <c r="M1265"/>
    </row>
    <row r="1266" spans="3:13" ht="12.75" customHeight="1">
      <c r="C1266"/>
      <c r="M1266"/>
    </row>
    <row r="1267" spans="3:13" ht="12.75" customHeight="1">
      <c r="C1267"/>
      <c r="M1267"/>
    </row>
    <row r="1268" spans="3:13" ht="12.75" customHeight="1">
      <c r="C1268"/>
      <c r="M1268"/>
    </row>
    <row r="1269" spans="3:13" ht="12.75" customHeight="1">
      <c r="C1269"/>
      <c r="M1269"/>
    </row>
    <row r="1270" spans="3:13" ht="12.75" customHeight="1">
      <c r="C1270"/>
      <c r="M1270"/>
    </row>
    <row r="1271" spans="3:13" ht="12.75" customHeight="1">
      <c r="C1271"/>
      <c r="M1271"/>
    </row>
    <row r="1272" spans="3:13" ht="12.75" customHeight="1">
      <c r="C1272"/>
      <c r="M1272"/>
    </row>
    <row r="1273" spans="3:13" ht="12.75" customHeight="1">
      <c r="C1273"/>
      <c r="M1273"/>
    </row>
    <row r="1274" spans="3:13" ht="12.75" customHeight="1">
      <c r="C1274"/>
      <c r="M1274"/>
    </row>
    <row r="1275" spans="3:13" ht="12.75" customHeight="1">
      <c r="C1275"/>
      <c r="M1275"/>
    </row>
    <row r="1276" spans="3:13" ht="12.75" customHeight="1">
      <c r="C1276"/>
      <c r="M1276"/>
    </row>
    <row r="1277" spans="3:13" ht="12.75" customHeight="1">
      <c r="C1277"/>
      <c r="M1277"/>
    </row>
    <row r="1278" spans="3:13" ht="12.75" customHeight="1">
      <c r="C1278"/>
      <c r="M1278"/>
    </row>
    <row r="1279" spans="3:13" ht="12.75" customHeight="1">
      <c r="C1279"/>
      <c r="M1279"/>
    </row>
    <row r="1280" spans="3:13" ht="12.75" customHeight="1">
      <c r="C1280"/>
      <c r="M1280"/>
    </row>
    <row r="1281" spans="3:13" ht="12.75" customHeight="1">
      <c r="C1281"/>
      <c r="M1281"/>
    </row>
    <row r="1282" spans="3:13" ht="12.75" customHeight="1">
      <c r="C1282"/>
      <c r="M1282"/>
    </row>
    <row r="1283" spans="3:13" ht="12.75" customHeight="1">
      <c r="C1283"/>
      <c r="M1283"/>
    </row>
    <row r="1284" spans="3:13" ht="12.75" customHeight="1">
      <c r="C1284"/>
      <c r="M1284"/>
    </row>
    <row r="1285" spans="3:13" ht="12.75" customHeight="1">
      <c r="C1285"/>
      <c r="M1285"/>
    </row>
    <row r="1286" spans="3:13" ht="12.75" customHeight="1">
      <c r="C1286"/>
      <c r="M1286"/>
    </row>
    <row r="1287" spans="3:13" ht="12.75" customHeight="1">
      <c r="C1287"/>
      <c r="M1287"/>
    </row>
    <row r="1288" spans="3:13" ht="12.75" customHeight="1">
      <c r="C1288"/>
      <c r="M1288"/>
    </row>
    <row r="1289" spans="3:13" ht="12.75" customHeight="1">
      <c r="C1289"/>
      <c r="M1289"/>
    </row>
    <row r="1290" spans="3:13" ht="12.75" customHeight="1">
      <c r="C1290"/>
      <c r="M1290"/>
    </row>
    <row r="1291" spans="3:13" ht="12.75" customHeight="1">
      <c r="C1291"/>
      <c r="M1291"/>
    </row>
    <row r="1292" spans="3:13" ht="12.75" customHeight="1">
      <c r="C1292"/>
      <c r="M1292"/>
    </row>
    <row r="1293" spans="3:13" ht="12.75" customHeight="1">
      <c r="C1293"/>
      <c r="M1293"/>
    </row>
    <row r="1294" spans="3:13" ht="12.75" customHeight="1">
      <c r="C1294"/>
      <c r="M1294"/>
    </row>
    <row r="1295" spans="3:13" ht="12.75" customHeight="1">
      <c r="C1295"/>
      <c r="M1295"/>
    </row>
    <row r="1296" spans="3:13" ht="12.75" customHeight="1">
      <c r="C1296"/>
      <c r="M1296"/>
    </row>
    <row r="1297" spans="3:13" ht="12.75" customHeight="1">
      <c r="C1297"/>
      <c r="M1297"/>
    </row>
    <row r="1298" spans="3:13" ht="12.75" customHeight="1">
      <c r="C1298"/>
      <c r="M1298"/>
    </row>
    <row r="1299" spans="3:13" ht="12.75" customHeight="1">
      <c r="C1299"/>
      <c r="M1299"/>
    </row>
    <row r="1300" spans="3:13" ht="12.75" customHeight="1">
      <c r="C1300"/>
      <c r="M1300"/>
    </row>
    <row r="1301" spans="3:13" ht="12.75" customHeight="1">
      <c r="C1301"/>
      <c r="M1301"/>
    </row>
    <row r="1302" spans="3:13" ht="12.75" customHeight="1">
      <c r="C1302"/>
      <c r="M1302"/>
    </row>
    <row r="1303" spans="3:13" ht="12.75" customHeight="1">
      <c r="C1303"/>
      <c r="M1303"/>
    </row>
    <row r="1304" spans="3:13" ht="12.75" customHeight="1">
      <c r="C1304"/>
      <c r="M1304"/>
    </row>
    <row r="1305" spans="3:13" ht="12.75" customHeight="1">
      <c r="C1305"/>
      <c r="M1305"/>
    </row>
    <row r="1306" spans="3:13" ht="12.75" customHeight="1">
      <c r="C1306"/>
      <c r="M1306"/>
    </row>
    <row r="1307" spans="3:13" ht="12.75" customHeight="1">
      <c r="C1307"/>
      <c r="M1307"/>
    </row>
    <row r="1308" spans="3:13" ht="12.75" customHeight="1">
      <c r="C1308"/>
      <c r="M1308"/>
    </row>
    <row r="1309" spans="3:13" ht="12.75" customHeight="1">
      <c r="C1309"/>
      <c r="M1309"/>
    </row>
    <row r="1310" spans="3:13" ht="12.75" customHeight="1">
      <c r="C1310"/>
      <c r="M1310"/>
    </row>
    <row r="1311" spans="3:13" ht="12.75" customHeight="1">
      <c r="C1311"/>
      <c r="M1311"/>
    </row>
    <row r="1312" spans="3:13" ht="12.75" customHeight="1">
      <c r="C1312"/>
      <c r="M1312"/>
    </row>
    <row r="1313" spans="3:13" ht="12.75" customHeight="1">
      <c r="C1313"/>
      <c r="M1313"/>
    </row>
    <row r="1314" spans="3:13" ht="12.75" customHeight="1">
      <c r="C1314"/>
      <c r="M1314"/>
    </row>
    <row r="1315" spans="3:13" ht="12.75" customHeight="1">
      <c r="C1315"/>
      <c r="M1315"/>
    </row>
    <row r="1316" spans="3:13" ht="12.75" customHeight="1">
      <c r="C1316"/>
      <c r="M1316"/>
    </row>
    <row r="1317" spans="3:13" ht="12.75" customHeight="1">
      <c r="C1317"/>
      <c r="M1317"/>
    </row>
    <row r="1318" spans="3:13" ht="12.75" customHeight="1">
      <c r="C1318"/>
      <c r="M1318"/>
    </row>
    <row r="1319" spans="3:13" ht="12.75" customHeight="1">
      <c r="C1319"/>
      <c r="M1319"/>
    </row>
    <row r="1320" spans="3:13" ht="12.75" customHeight="1">
      <c r="C1320"/>
      <c r="M1320"/>
    </row>
    <row r="1321" spans="3:13" ht="12.75" customHeight="1">
      <c r="C1321"/>
      <c r="M1321"/>
    </row>
    <row r="1322" spans="3:13" ht="12.75" customHeight="1">
      <c r="C1322"/>
      <c r="M1322"/>
    </row>
    <row r="1323" spans="3:13" ht="12.75" customHeight="1">
      <c r="C1323"/>
      <c r="M1323"/>
    </row>
    <row r="1324" spans="3:13" ht="12.75" customHeight="1">
      <c r="C1324"/>
      <c r="M1324"/>
    </row>
    <row r="1325" spans="3:13" ht="12.75" customHeight="1">
      <c r="C1325"/>
      <c r="M1325"/>
    </row>
    <row r="1326" spans="3:13" ht="12.75" customHeight="1">
      <c r="C1326"/>
      <c r="M1326"/>
    </row>
    <row r="1327" spans="3:13" ht="12.75" customHeight="1">
      <c r="C1327"/>
      <c r="M1327"/>
    </row>
    <row r="1328" spans="3:13" ht="12.75" customHeight="1">
      <c r="C1328"/>
      <c r="M1328"/>
    </row>
    <row r="1329" spans="3:13" ht="12.75" customHeight="1">
      <c r="C1329"/>
      <c r="M1329"/>
    </row>
    <row r="1330" spans="3:13" ht="12.75" customHeight="1">
      <c r="C1330"/>
      <c r="M1330"/>
    </row>
    <row r="1331" spans="3:13" ht="12.75" customHeight="1">
      <c r="C1331"/>
      <c r="M1331"/>
    </row>
    <row r="1332" spans="3:13" ht="12.75" customHeight="1">
      <c r="C1332"/>
      <c r="M1332"/>
    </row>
    <row r="1333" spans="3:13" ht="12.75" customHeight="1">
      <c r="C1333"/>
      <c r="M1333"/>
    </row>
    <row r="1334" spans="3:13" ht="12.75" customHeight="1">
      <c r="C1334"/>
      <c r="M1334"/>
    </row>
    <row r="1335" spans="3:13" ht="12.75" customHeight="1">
      <c r="C1335"/>
      <c r="M1335"/>
    </row>
    <row r="1336" spans="3:13" ht="12.75" customHeight="1">
      <c r="C1336"/>
      <c r="M1336"/>
    </row>
    <row r="1337" spans="3:13" ht="12.75" customHeight="1">
      <c r="C1337"/>
      <c r="M1337"/>
    </row>
    <row r="1338" spans="3:13" ht="12.75" customHeight="1">
      <c r="C1338"/>
      <c r="M1338"/>
    </row>
    <row r="1339" spans="3:13" ht="12.75" customHeight="1">
      <c r="C1339"/>
      <c r="M1339"/>
    </row>
    <row r="1340" spans="3:13" ht="12.75" customHeight="1">
      <c r="C1340"/>
      <c r="M1340"/>
    </row>
    <row r="1341" spans="3:13" ht="12.75" customHeight="1">
      <c r="C1341"/>
      <c r="M1341"/>
    </row>
    <row r="1342" spans="3:13" ht="12.75" customHeight="1">
      <c r="C1342"/>
      <c r="M1342"/>
    </row>
    <row r="1343" spans="3:13" ht="12.75" customHeight="1">
      <c r="C1343"/>
      <c r="M1343"/>
    </row>
    <row r="1344" spans="3:13" ht="12.75" customHeight="1">
      <c r="C1344"/>
      <c r="M1344"/>
    </row>
    <row r="1345" spans="3:13" ht="12.75" customHeight="1">
      <c r="C1345"/>
      <c r="M1345"/>
    </row>
    <row r="1346" spans="3:13" ht="12.75" customHeight="1">
      <c r="C1346"/>
      <c r="M1346"/>
    </row>
    <row r="1347" spans="3:13" ht="12.75" customHeight="1">
      <c r="C1347"/>
      <c r="M1347"/>
    </row>
    <row r="1348" spans="3:13" ht="12.75" customHeight="1">
      <c r="C1348"/>
      <c r="M1348"/>
    </row>
    <row r="1349" spans="3:13" ht="12.75" customHeight="1">
      <c r="C1349"/>
      <c r="M1349"/>
    </row>
    <row r="1350" spans="3:13" ht="12.75" customHeight="1">
      <c r="C1350"/>
      <c r="M1350"/>
    </row>
    <row r="1351" spans="3:13" ht="12.75" customHeight="1">
      <c r="C1351"/>
      <c r="M1351"/>
    </row>
    <row r="1352" spans="3:13" ht="12.75" customHeight="1">
      <c r="C1352"/>
      <c r="M1352"/>
    </row>
    <row r="1353" spans="3:13" ht="12.75" customHeight="1">
      <c r="C1353"/>
      <c r="M1353"/>
    </row>
    <row r="1354" spans="3:13" ht="12.75" customHeight="1">
      <c r="C1354"/>
      <c r="M1354"/>
    </row>
    <row r="1355" spans="3:13" ht="12.75" customHeight="1">
      <c r="C1355"/>
      <c r="M1355"/>
    </row>
    <row r="1356" spans="3:13" ht="12.75" customHeight="1">
      <c r="C1356"/>
      <c r="M1356"/>
    </row>
    <row r="1357" spans="3:13" ht="12.75" customHeight="1">
      <c r="C1357"/>
      <c r="M1357"/>
    </row>
    <row r="1358" spans="3:13" ht="12.75" customHeight="1">
      <c r="C1358"/>
      <c r="M1358"/>
    </row>
    <row r="1359" spans="3:13" ht="12.75" customHeight="1">
      <c r="C1359"/>
      <c r="M1359"/>
    </row>
    <row r="1360" spans="3:13" ht="12.75" customHeight="1">
      <c r="C1360"/>
      <c r="M1360"/>
    </row>
    <row r="1361" spans="3:13" ht="12.75" customHeight="1">
      <c r="C1361"/>
      <c r="M1361"/>
    </row>
    <row r="1362" spans="3:13" ht="12.75" customHeight="1">
      <c r="C1362"/>
      <c r="M1362"/>
    </row>
    <row r="1363" spans="3:13" ht="12.75" customHeight="1">
      <c r="C1363"/>
      <c r="M1363"/>
    </row>
    <row r="1364" spans="3:13" ht="12.75" customHeight="1">
      <c r="C1364"/>
      <c r="M1364"/>
    </row>
    <row r="1365" spans="3:13" ht="12.75" customHeight="1">
      <c r="C1365"/>
      <c r="M1365"/>
    </row>
    <row r="1366" spans="3:13" ht="12.75" customHeight="1">
      <c r="C1366"/>
      <c r="M1366"/>
    </row>
    <row r="1367" spans="3:13" ht="12.75" customHeight="1">
      <c r="C1367"/>
      <c r="M1367"/>
    </row>
    <row r="1368" spans="3:13" ht="12.75" customHeight="1">
      <c r="C1368"/>
      <c r="M1368"/>
    </row>
    <row r="1369" spans="3:13" ht="12.75" customHeight="1">
      <c r="C1369"/>
      <c r="M1369"/>
    </row>
    <row r="1370" spans="3:13" ht="12.75" customHeight="1">
      <c r="C1370"/>
      <c r="M1370"/>
    </row>
    <row r="1371" spans="3:13" ht="12.75" customHeight="1">
      <c r="C1371"/>
      <c r="M1371"/>
    </row>
    <row r="1372" spans="3:13" ht="12.75" customHeight="1">
      <c r="C1372"/>
      <c r="M1372"/>
    </row>
    <row r="1373" spans="3:13" ht="12.75" customHeight="1">
      <c r="C1373"/>
      <c r="M1373"/>
    </row>
    <row r="1374" spans="3:13" ht="12.75" customHeight="1">
      <c r="C1374"/>
      <c r="M1374"/>
    </row>
    <row r="1375" spans="3:13" ht="12.75" customHeight="1">
      <c r="C1375"/>
      <c r="M1375"/>
    </row>
    <row r="1376" spans="3:13" ht="12.75" customHeight="1">
      <c r="C1376"/>
      <c r="M1376"/>
    </row>
    <row r="1377" spans="3:13" ht="12.75" customHeight="1">
      <c r="C1377"/>
      <c r="M1377"/>
    </row>
    <row r="1378" spans="3:13" ht="12.75" customHeight="1">
      <c r="C1378"/>
      <c r="M1378"/>
    </row>
    <row r="1379" spans="3:13" ht="12.75" customHeight="1">
      <c r="C1379"/>
      <c r="M1379"/>
    </row>
    <row r="1380" spans="3:13" ht="12.75" customHeight="1">
      <c r="C1380"/>
      <c r="M1380"/>
    </row>
    <row r="1381" spans="3:13" ht="12.75" customHeight="1">
      <c r="C1381"/>
      <c r="M1381"/>
    </row>
    <row r="1382" spans="3:13" ht="12.75" customHeight="1">
      <c r="C1382"/>
      <c r="M1382"/>
    </row>
    <row r="1383" spans="3:13" ht="12.75" customHeight="1">
      <c r="C1383"/>
      <c r="M1383"/>
    </row>
    <row r="1384" spans="3:13" ht="12.75" customHeight="1">
      <c r="C1384"/>
      <c r="M1384"/>
    </row>
    <row r="1385" spans="3:13" ht="12.75" customHeight="1">
      <c r="C1385"/>
      <c r="M1385"/>
    </row>
    <row r="1386" spans="3:13" ht="12.75" customHeight="1">
      <c r="C1386"/>
      <c r="M1386"/>
    </row>
    <row r="1387" spans="3:13" ht="12.75" customHeight="1">
      <c r="C1387"/>
      <c r="M1387"/>
    </row>
    <row r="1388" spans="3:13" ht="12.75" customHeight="1">
      <c r="C1388"/>
      <c r="M1388"/>
    </row>
    <row r="1389" spans="3:13" ht="12.75" customHeight="1">
      <c r="C1389"/>
      <c r="M1389"/>
    </row>
    <row r="1390" spans="3:13" ht="12.75" customHeight="1">
      <c r="C1390"/>
      <c r="M1390"/>
    </row>
    <row r="1391" spans="3:13" ht="12.75" customHeight="1">
      <c r="C1391"/>
      <c r="M1391"/>
    </row>
    <row r="1392" spans="3:13" ht="12.75" customHeight="1">
      <c r="C1392"/>
      <c r="M1392"/>
    </row>
    <row r="1393" spans="3:13" ht="12.75" customHeight="1">
      <c r="C1393"/>
      <c r="M1393"/>
    </row>
    <row r="1394" spans="3:13" ht="12.75" customHeight="1">
      <c r="C1394"/>
      <c r="M1394"/>
    </row>
    <row r="1395" spans="3:13" ht="12.75" customHeight="1">
      <c r="C1395"/>
      <c r="M1395"/>
    </row>
    <row r="1396" spans="3:13" ht="12.75" customHeight="1">
      <c r="C1396"/>
      <c r="M1396"/>
    </row>
    <row r="1397" spans="3:13" ht="12.75" customHeight="1">
      <c r="C1397"/>
      <c r="M1397"/>
    </row>
    <row r="1398" spans="3:13" ht="12.75" customHeight="1">
      <c r="C1398"/>
      <c r="M1398"/>
    </row>
    <row r="1399" spans="3:13" ht="12.75" customHeight="1">
      <c r="C1399"/>
      <c r="M1399"/>
    </row>
    <row r="1400" spans="3:13" ht="12.75" customHeight="1">
      <c r="C1400"/>
      <c r="M1400"/>
    </row>
    <row r="1401" spans="3:13" ht="12.75" customHeight="1">
      <c r="C1401"/>
      <c r="M1401"/>
    </row>
    <row r="1402" spans="3:13" ht="12.75" customHeight="1">
      <c r="C1402"/>
      <c r="M1402"/>
    </row>
    <row r="1403" spans="3:13" ht="12.75" customHeight="1">
      <c r="C1403"/>
      <c r="M1403"/>
    </row>
    <row r="1404" spans="3:13" ht="12.75" customHeight="1">
      <c r="C1404"/>
      <c r="M1404"/>
    </row>
    <row r="1405" spans="3:13" ht="12.75" customHeight="1">
      <c r="C1405"/>
      <c r="M1405"/>
    </row>
    <row r="1406" spans="3:13" ht="12.75" customHeight="1">
      <c r="C1406"/>
      <c r="M1406"/>
    </row>
    <row r="1407" spans="3:13" ht="12.75" customHeight="1">
      <c r="C1407"/>
      <c r="M1407"/>
    </row>
    <row r="1408" spans="3:13" ht="12.75" customHeight="1">
      <c r="C1408"/>
      <c r="M1408"/>
    </row>
    <row r="1409" spans="3:13" ht="12.75" customHeight="1">
      <c r="C1409"/>
      <c r="M1409"/>
    </row>
    <row r="1410" spans="3:13" ht="12.75" customHeight="1">
      <c r="C1410"/>
      <c r="M1410"/>
    </row>
    <row r="1411" spans="3:13" ht="12.75" customHeight="1">
      <c r="C1411"/>
      <c r="M1411"/>
    </row>
    <row r="1412" spans="3:13" ht="12.75" customHeight="1">
      <c r="C1412"/>
      <c r="M1412"/>
    </row>
    <row r="1413" spans="3:13" ht="12.75" customHeight="1">
      <c r="C1413"/>
      <c r="M1413"/>
    </row>
    <row r="1414" spans="3:13" ht="12.75" customHeight="1">
      <c r="C1414"/>
      <c r="M1414"/>
    </row>
    <row r="1415" spans="3:13" ht="12.75" customHeight="1">
      <c r="C1415"/>
      <c r="M1415"/>
    </row>
    <row r="1416" spans="3:13" ht="12.75" customHeight="1">
      <c r="C1416"/>
      <c r="M1416"/>
    </row>
    <row r="1417" spans="3:13" ht="12.75" customHeight="1">
      <c r="C1417"/>
      <c r="M1417"/>
    </row>
    <row r="1418" spans="3:13" ht="12.75" customHeight="1">
      <c r="C1418"/>
      <c r="M1418"/>
    </row>
    <row r="1419" spans="3:13" ht="12.75" customHeight="1">
      <c r="C1419"/>
      <c r="M1419"/>
    </row>
    <row r="1420" spans="3:13" ht="12.75" customHeight="1">
      <c r="C1420"/>
      <c r="M1420"/>
    </row>
    <row r="1421" spans="3:13" ht="12.75" customHeight="1">
      <c r="C1421"/>
      <c r="M1421"/>
    </row>
    <row r="1422" spans="3:13" ht="12.75" customHeight="1">
      <c r="C1422"/>
      <c r="M1422"/>
    </row>
    <row r="1423" spans="3:13" ht="12.75" customHeight="1">
      <c r="C1423"/>
      <c r="M1423"/>
    </row>
    <row r="1424" spans="3:13" ht="12.75" customHeight="1">
      <c r="C1424"/>
      <c r="M1424"/>
    </row>
    <row r="1425" spans="3:13" ht="12.75" customHeight="1">
      <c r="C1425"/>
      <c r="M1425"/>
    </row>
    <row r="1426" spans="3:13" ht="12.75" customHeight="1">
      <c r="C1426"/>
      <c r="M1426"/>
    </row>
    <row r="1427" spans="3:13" ht="12.75" customHeight="1">
      <c r="C1427"/>
      <c r="M1427"/>
    </row>
    <row r="1428" spans="3:13" ht="12.75" customHeight="1">
      <c r="C1428"/>
      <c r="M1428"/>
    </row>
    <row r="1429" spans="3:13" ht="12.75" customHeight="1">
      <c r="C1429"/>
      <c r="M1429"/>
    </row>
    <row r="1430" spans="3:13" ht="12.75" customHeight="1">
      <c r="C1430"/>
      <c r="M1430"/>
    </row>
    <row r="1431" spans="3:13" ht="12.75" customHeight="1">
      <c r="C1431"/>
      <c r="M1431"/>
    </row>
    <row r="1432" spans="3:13" ht="12.75" customHeight="1">
      <c r="C1432"/>
      <c r="M1432"/>
    </row>
    <row r="1433" spans="3:13" ht="12.75" customHeight="1">
      <c r="C1433"/>
      <c r="M1433"/>
    </row>
    <row r="1434" spans="3:13" ht="12.75" customHeight="1">
      <c r="C1434"/>
      <c r="M1434"/>
    </row>
    <row r="1435" spans="3:13" ht="12.75" customHeight="1">
      <c r="C1435"/>
      <c r="M1435"/>
    </row>
    <row r="1436" spans="3:13" ht="12.75" customHeight="1">
      <c r="C1436"/>
      <c r="M1436"/>
    </row>
    <row r="1437" spans="3:13" ht="12.75" customHeight="1">
      <c r="C1437"/>
      <c r="M1437"/>
    </row>
    <row r="1438" spans="3:13" ht="12.75" customHeight="1">
      <c r="C1438"/>
      <c r="M1438"/>
    </row>
    <row r="1439" spans="3:13" ht="12.75" customHeight="1">
      <c r="C1439"/>
      <c r="M1439"/>
    </row>
    <row r="1440" spans="3:13" ht="12.75" customHeight="1">
      <c r="C1440"/>
      <c r="M1440"/>
    </row>
    <row r="1441" spans="3:13" ht="12.75" customHeight="1">
      <c r="C1441"/>
      <c r="M1441"/>
    </row>
    <row r="1442" spans="3:13" ht="12.75" customHeight="1">
      <c r="C1442"/>
      <c r="M1442"/>
    </row>
    <row r="1443" spans="3:13" ht="12.75" customHeight="1">
      <c r="C1443"/>
      <c r="M1443"/>
    </row>
    <row r="1444" spans="3:13" ht="12.75" customHeight="1">
      <c r="C1444"/>
      <c r="M1444"/>
    </row>
    <row r="1445" spans="3:13" ht="12.75" customHeight="1">
      <c r="C1445"/>
      <c r="M1445"/>
    </row>
    <row r="1446" spans="3:13" ht="12.75" customHeight="1">
      <c r="C1446"/>
      <c r="M1446"/>
    </row>
    <row r="1447" spans="3:13" ht="12.75" customHeight="1">
      <c r="C1447"/>
      <c r="M1447"/>
    </row>
    <row r="1448" spans="3:13" ht="12.75" customHeight="1">
      <c r="C1448"/>
      <c r="M1448"/>
    </row>
    <row r="1449" spans="3:13" ht="12.75" customHeight="1">
      <c r="C1449"/>
      <c r="M1449"/>
    </row>
    <row r="1450" spans="3:13" ht="12.75" customHeight="1">
      <c r="C1450"/>
      <c r="M1450"/>
    </row>
    <row r="1451" spans="3:13" ht="12.75" customHeight="1">
      <c r="C1451"/>
      <c r="M1451"/>
    </row>
    <row r="1452" spans="3:13" ht="12.75" customHeight="1">
      <c r="C1452"/>
      <c r="M1452"/>
    </row>
    <row r="1453" spans="3:13" ht="12.75" customHeight="1">
      <c r="C1453"/>
      <c r="M1453"/>
    </row>
    <row r="1454" spans="3:13" ht="12.75" customHeight="1">
      <c r="C1454"/>
      <c r="M1454"/>
    </row>
    <row r="1455" spans="3:13" ht="12.75" customHeight="1">
      <c r="C1455"/>
      <c r="M1455"/>
    </row>
    <row r="1456" spans="3:13" ht="12.75" customHeight="1">
      <c r="C1456"/>
      <c r="M1456"/>
    </row>
    <row r="1457" spans="3:13" ht="12.75" customHeight="1">
      <c r="C1457"/>
      <c r="M1457"/>
    </row>
    <row r="1458" spans="3:13" ht="12.75" customHeight="1">
      <c r="C1458"/>
      <c r="M1458"/>
    </row>
    <row r="1459" spans="3:13" ht="12.75" customHeight="1">
      <c r="C1459"/>
      <c r="M1459"/>
    </row>
    <row r="1460" spans="3:13" ht="12.75" customHeight="1">
      <c r="C1460"/>
      <c r="M1460"/>
    </row>
    <row r="1461" spans="3:13" ht="12.75" customHeight="1">
      <c r="C1461"/>
      <c r="M1461"/>
    </row>
    <row r="1462" spans="3:13" ht="12.75" customHeight="1">
      <c r="C1462"/>
      <c r="M1462"/>
    </row>
    <row r="1463" spans="3:13" ht="12.75" customHeight="1">
      <c r="C1463"/>
      <c r="M1463"/>
    </row>
    <row r="1464" spans="3:13" ht="12.75" customHeight="1">
      <c r="C1464"/>
      <c r="M1464"/>
    </row>
    <row r="1465" spans="3:13" ht="12.75" customHeight="1">
      <c r="C1465"/>
      <c r="M1465"/>
    </row>
    <row r="1466" spans="3:13" ht="12.75" customHeight="1">
      <c r="C1466"/>
      <c r="M1466"/>
    </row>
    <row r="1467" spans="3:13" ht="12.75" customHeight="1">
      <c r="C1467"/>
      <c r="M1467"/>
    </row>
    <row r="1468" spans="3:13" ht="12.75" customHeight="1">
      <c r="C1468"/>
      <c r="M1468"/>
    </row>
    <row r="1469" spans="3:13" ht="12.75" customHeight="1">
      <c r="C1469"/>
      <c r="M1469"/>
    </row>
    <row r="1470" spans="3:13" ht="12.75" customHeight="1">
      <c r="C1470"/>
      <c r="M1470"/>
    </row>
    <row r="1471" spans="3:13" ht="12.75" customHeight="1">
      <c r="C1471"/>
      <c r="M1471"/>
    </row>
    <row r="1472" spans="3:13" ht="12.75" customHeight="1">
      <c r="C1472"/>
      <c r="M1472"/>
    </row>
    <row r="1473" spans="3:13" ht="12.75" customHeight="1">
      <c r="C1473"/>
      <c r="M1473"/>
    </row>
    <row r="1474" spans="3:13" ht="12.75" customHeight="1">
      <c r="C1474"/>
      <c r="M1474"/>
    </row>
    <row r="1475" spans="3:13" ht="12.75" customHeight="1">
      <c r="C1475"/>
      <c r="M1475"/>
    </row>
    <row r="1476" spans="3:13" ht="12.75" customHeight="1">
      <c r="C1476"/>
      <c r="M1476"/>
    </row>
    <row r="1477" spans="3:13" ht="12.75" customHeight="1">
      <c r="C1477"/>
      <c r="M1477"/>
    </row>
    <row r="1478" spans="3:13" ht="12.75" customHeight="1">
      <c r="C1478"/>
      <c r="M1478"/>
    </row>
    <row r="1479" spans="3:13" ht="12.75" customHeight="1">
      <c r="C1479"/>
      <c r="M1479"/>
    </row>
    <row r="1480" spans="3:13" ht="12.75" customHeight="1">
      <c r="C1480"/>
      <c r="M1480"/>
    </row>
    <row r="1481" spans="3:13" ht="12.75" customHeight="1">
      <c r="C1481"/>
      <c r="M1481"/>
    </row>
    <row r="1482" spans="3:13" ht="12.75" customHeight="1">
      <c r="C1482"/>
      <c r="M1482"/>
    </row>
    <row r="1483" spans="3:13" ht="12.75" customHeight="1">
      <c r="C1483"/>
      <c r="M1483"/>
    </row>
    <row r="1484" spans="3:13" ht="12.75" customHeight="1">
      <c r="C1484"/>
      <c r="M1484"/>
    </row>
    <row r="1485" spans="3:13" ht="12.75" customHeight="1">
      <c r="C1485"/>
      <c r="M1485"/>
    </row>
    <row r="1486" spans="3:13" ht="12.75" customHeight="1">
      <c r="C1486"/>
      <c r="M1486"/>
    </row>
    <row r="1487" spans="3:13" ht="12.75" customHeight="1">
      <c r="C1487"/>
      <c r="M1487"/>
    </row>
    <row r="1488" spans="3:13" ht="12.75" customHeight="1">
      <c r="C1488"/>
      <c r="M1488"/>
    </row>
    <row r="1489" spans="3:13" ht="12.75" customHeight="1">
      <c r="C1489"/>
      <c r="M1489"/>
    </row>
    <row r="1490" spans="3:13" ht="12.75" customHeight="1">
      <c r="C1490"/>
      <c r="M1490"/>
    </row>
    <row r="1491" spans="3:13" ht="12.75" customHeight="1">
      <c r="C1491"/>
      <c r="M1491"/>
    </row>
    <row r="1492" spans="3:13" ht="12.75" customHeight="1">
      <c r="C1492"/>
      <c r="M1492"/>
    </row>
    <row r="1493" spans="3:13" ht="12.75" customHeight="1">
      <c r="C1493"/>
      <c r="M1493"/>
    </row>
    <row r="1494" spans="3:13" ht="12.75" customHeight="1">
      <c r="C1494"/>
      <c r="M1494"/>
    </row>
    <row r="1495" spans="3:13" ht="12.75" customHeight="1">
      <c r="C1495"/>
      <c r="M1495"/>
    </row>
    <row r="1496" spans="3:13" ht="12.75" customHeight="1">
      <c r="C1496"/>
      <c r="M1496"/>
    </row>
    <row r="1497" spans="3:13" ht="12.75" customHeight="1">
      <c r="C1497"/>
      <c r="M1497"/>
    </row>
    <row r="1498" spans="3:13" ht="12.75" customHeight="1">
      <c r="C1498"/>
      <c r="M1498"/>
    </row>
    <row r="1499" spans="3:13" ht="12.75" customHeight="1">
      <c r="C1499"/>
      <c r="M1499"/>
    </row>
    <row r="1500" spans="3:13" ht="12.75" customHeight="1">
      <c r="C1500"/>
      <c r="M1500"/>
    </row>
    <row r="1501" spans="3:13" ht="12.75" customHeight="1">
      <c r="C1501"/>
      <c r="M1501"/>
    </row>
    <row r="1502" spans="3:13" ht="12.75" customHeight="1">
      <c r="C1502"/>
      <c r="M1502"/>
    </row>
    <row r="1503" spans="3:13" ht="12.75" customHeight="1">
      <c r="C1503"/>
      <c r="M1503"/>
    </row>
    <row r="1504" spans="3:13" ht="12.75" customHeight="1">
      <c r="C1504"/>
      <c r="M1504"/>
    </row>
    <row r="1505" spans="3:13" ht="12.75" customHeight="1">
      <c r="C1505"/>
      <c r="M1505"/>
    </row>
    <row r="1506" spans="3:13" ht="12.75" customHeight="1">
      <c r="C1506"/>
      <c r="M1506"/>
    </row>
    <row r="1507" spans="3:13" ht="12.75" customHeight="1">
      <c r="C1507"/>
      <c r="M1507"/>
    </row>
    <row r="1508" spans="3:13" ht="12.75" customHeight="1">
      <c r="C1508"/>
      <c r="M1508"/>
    </row>
    <row r="1509" spans="3:13" ht="12.75" customHeight="1">
      <c r="C1509"/>
      <c r="M1509"/>
    </row>
    <row r="1510" spans="3:13" ht="12.75" customHeight="1">
      <c r="C1510"/>
      <c r="M1510"/>
    </row>
    <row r="1511" spans="3:13" ht="12.75" customHeight="1">
      <c r="C1511"/>
      <c r="M1511"/>
    </row>
    <row r="1512" spans="3:13" ht="12.75" customHeight="1">
      <c r="C1512"/>
      <c r="M1512"/>
    </row>
    <row r="1513" spans="3:13" ht="12.75" customHeight="1">
      <c r="C1513"/>
      <c r="M1513"/>
    </row>
    <row r="1514" spans="3:13" ht="12.75" customHeight="1">
      <c r="C1514"/>
      <c r="M1514"/>
    </row>
    <row r="1515" spans="3:13" ht="12.75" customHeight="1">
      <c r="C1515"/>
      <c r="M1515"/>
    </row>
    <row r="1516" spans="3:13" ht="12.75" customHeight="1">
      <c r="C1516"/>
      <c r="M1516"/>
    </row>
    <row r="1517" spans="3:13" ht="12.75" customHeight="1">
      <c r="C1517"/>
      <c r="M1517"/>
    </row>
    <row r="1518" spans="3:13" ht="12.75" customHeight="1">
      <c r="C1518"/>
      <c r="M1518"/>
    </row>
    <row r="1519" spans="3:13" ht="12.75" customHeight="1">
      <c r="C1519"/>
      <c r="M1519"/>
    </row>
    <row r="1520" spans="3:13" ht="12.75" customHeight="1">
      <c r="C1520"/>
      <c r="M1520"/>
    </row>
    <row r="1521" spans="3:13" ht="12.75" customHeight="1">
      <c r="C1521"/>
      <c r="M1521"/>
    </row>
    <row r="1522" spans="3:13" ht="12.75" customHeight="1">
      <c r="C1522"/>
      <c r="M1522"/>
    </row>
    <row r="1523" spans="3:13" ht="12.75" customHeight="1">
      <c r="C1523"/>
      <c r="M1523"/>
    </row>
    <row r="1524" spans="3:13" ht="12.75" customHeight="1">
      <c r="C1524"/>
      <c r="M1524"/>
    </row>
    <row r="1525" spans="3:13" ht="12.75" customHeight="1">
      <c r="C1525"/>
      <c r="M1525"/>
    </row>
    <row r="1526" spans="3:13" ht="12.75" customHeight="1">
      <c r="C1526"/>
      <c r="M1526"/>
    </row>
    <row r="1527" spans="3:13" ht="12.75" customHeight="1">
      <c r="C1527"/>
      <c r="M1527"/>
    </row>
    <row r="1528" spans="3:13" ht="12.75" customHeight="1">
      <c r="C1528"/>
      <c r="M1528"/>
    </row>
    <row r="1529" spans="3:13" ht="12.75" customHeight="1">
      <c r="C1529"/>
      <c r="M1529"/>
    </row>
    <row r="1530" spans="3:13" ht="12.75" customHeight="1">
      <c r="C1530"/>
      <c r="M1530"/>
    </row>
    <row r="1531" spans="3:13" ht="12.75" customHeight="1">
      <c r="C1531"/>
      <c r="M1531"/>
    </row>
    <row r="1532" spans="3:13" ht="12.75" customHeight="1">
      <c r="C1532"/>
      <c r="M1532"/>
    </row>
    <row r="1533" spans="3:13" ht="12.75" customHeight="1">
      <c r="C1533"/>
      <c r="M1533"/>
    </row>
    <row r="1534" spans="3:13" ht="12.75" customHeight="1">
      <c r="C1534"/>
      <c r="M1534"/>
    </row>
    <row r="1535" spans="3:13" ht="12.75" customHeight="1">
      <c r="C1535"/>
      <c r="M1535"/>
    </row>
    <row r="1536" spans="3:13" ht="12.75" customHeight="1">
      <c r="C1536"/>
      <c r="M1536"/>
    </row>
    <row r="1537" spans="3:13" ht="12.75" customHeight="1">
      <c r="C1537"/>
      <c r="M1537"/>
    </row>
    <row r="1538" spans="3:13" ht="12.75" customHeight="1">
      <c r="C1538"/>
      <c r="M1538"/>
    </row>
    <row r="1539" spans="3:13" ht="12.75" customHeight="1">
      <c r="C1539"/>
      <c r="M1539"/>
    </row>
    <row r="1540" spans="3:13" ht="12.75" customHeight="1">
      <c r="C1540"/>
      <c r="M1540"/>
    </row>
    <row r="1541" spans="3:13" ht="12.75" customHeight="1">
      <c r="C1541"/>
      <c r="M1541"/>
    </row>
    <row r="1542" spans="3:13" ht="12.75" customHeight="1">
      <c r="C1542"/>
      <c r="M1542"/>
    </row>
    <row r="1543" spans="3:13" ht="12.75" customHeight="1">
      <c r="C1543"/>
      <c r="M1543"/>
    </row>
    <row r="1544" spans="3:13" ht="12.75" customHeight="1">
      <c r="C1544"/>
      <c r="M1544"/>
    </row>
    <row r="1545" spans="3:13" ht="12.75" customHeight="1">
      <c r="C1545"/>
      <c r="M1545"/>
    </row>
    <row r="1546" spans="3:13" ht="12.75" customHeight="1">
      <c r="C1546"/>
      <c r="M1546"/>
    </row>
    <row r="1547" spans="3:13" ht="12.75" customHeight="1">
      <c r="C1547"/>
      <c r="M1547"/>
    </row>
    <row r="1548" spans="3:13" ht="12.75" customHeight="1">
      <c r="C1548"/>
      <c r="M1548"/>
    </row>
    <row r="1549" spans="3:13" ht="12.75" customHeight="1">
      <c r="C1549"/>
      <c r="M1549"/>
    </row>
    <row r="1550" spans="3:13" ht="12.75" customHeight="1">
      <c r="C1550"/>
      <c r="M1550"/>
    </row>
    <row r="1551" spans="3:13" ht="12.75" customHeight="1">
      <c r="C1551"/>
      <c r="M1551"/>
    </row>
    <row r="1552" spans="3:13" ht="12.75" customHeight="1">
      <c r="C1552"/>
      <c r="M1552"/>
    </row>
    <row r="1553" spans="3:13" ht="12.75" customHeight="1">
      <c r="C1553"/>
      <c r="M1553"/>
    </row>
    <row r="1554" spans="3:13" ht="12.75" customHeight="1">
      <c r="C1554"/>
      <c r="M1554"/>
    </row>
    <row r="1555" spans="3:13" ht="12.75" customHeight="1">
      <c r="C1555"/>
      <c r="M1555"/>
    </row>
    <row r="1556" spans="3:13" ht="12.75" customHeight="1">
      <c r="C1556"/>
      <c r="M1556"/>
    </row>
    <row r="1557" spans="3:13" ht="12.75" customHeight="1">
      <c r="C1557"/>
      <c r="M1557"/>
    </row>
    <row r="1558" spans="3:13" ht="12.75" customHeight="1">
      <c r="C1558"/>
      <c r="M1558"/>
    </row>
    <row r="1559" spans="3:13" ht="12.75" customHeight="1">
      <c r="C1559"/>
      <c r="M1559"/>
    </row>
    <row r="1560" spans="3:13" ht="12.75" customHeight="1">
      <c r="C1560"/>
      <c r="M1560"/>
    </row>
    <row r="1561" spans="3:13" ht="12.75" customHeight="1">
      <c r="C1561"/>
      <c r="M1561"/>
    </row>
    <row r="1562" spans="3:13" ht="12.75" customHeight="1">
      <c r="C1562"/>
      <c r="M1562"/>
    </row>
    <row r="1563" spans="3:13" ht="12.75" customHeight="1">
      <c r="C1563"/>
      <c r="M1563"/>
    </row>
    <row r="1564" spans="3:13" ht="12.75" customHeight="1">
      <c r="C1564"/>
      <c r="M1564"/>
    </row>
    <row r="1565" spans="3:13" ht="12.75" customHeight="1">
      <c r="C1565"/>
      <c r="M1565"/>
    </row>
    <row r="1566" spans="3:13" ht="12.75" customHeight="1">
      <c r="C1566"/>
      <c r="M1566"/>
    </row>
    <row r="1567" spans="3:13" ht="12.75" customHeight="1">
      <c r="C1567"/>
      <c r="M1567"/>
    </row>
    <row r="1568" spans="3:13" ht="12.75" customHeight="1">
      <c r="C1568"/>
      <c r="M1568"/>
    </row>
    <row r="1569" spans="3:13" ht="12.75" customHeight="1">
      <c r="C1569"/>
      <c r="M1569"/>
    </row>
    <row r="1570" spans="3:13" ht="12.75" customHeight="1">
      <c r="C1570"/>
      <c r="M1570"/>
    </row>
    <row r="1571" spans="3:13" ht="12.75" customHeight="1">
      <c r="C1571"/>
      <c r="M1571"/>
    </row>
    <row r="1572" spans="3:13" ht="12.75" customHeight="1">
      <c r="C1572"/>
      <c r="M1572"/>
    </row>
    <row r="1573" spans="3:13" ht="12.75" customHeight="1">
      <c r="C1573"/>
      <c r="M1573"/>
    </row>
    <row r="1574" spans="3:13" ht="12.75" customHeight="1">
      <c r="C1574"/>
      <c r="M1574"/>
    </row>
    <row r="1575" spans="3:13" ht="12.75" customHeight="1">
      <c r="C1575"/>
      <c r="M1575"/>
    </row>
    <row r="1576" spans="3:13" ht="12.75" customHeight="1">
      <c r="C1576"/>
      <c r="M1576"/>
    </row>
    <row r="1577" spans="3:13" ht="12.75" customHeight="1">
      <c r="C1577"/>
      <c r="M1577"/>
    </row>
    <row r="1578" spans="3:13" ht="12.75" customHeight="1">
      <c r="C1578"/>
      <c r="M1578"/>
    </row>
    <row r="1579" spans="3:13" ht="12.75" customHeight="1">
      <c r="C1579"/>
      <c r="M1579"/>
    </row>
    <row r="1580" spans="3:13" ht="12.75" customHeight="1">
      <c r="C1580"/>
      <c r="M1580"/>
    </row>
    <row r="1581" spans="3:13" ht="12.75" customHeight="1">
      <c r="C1581"/>
      <c r="M1581"/>
    </row>
    <row r="1582" spans="3:13" ht="12.75" customHeight="1">
      <c r="C1582"/>
      <c r="M1582"/>
    </row>
    <row r="1583" spans="3:13" ht="12.75" customHeight="1">
      <c r="C1583"/>
      <c r="M1583"/>
    </row>
    <row r="1584" spans="3:13" ht="12.75" customHeight="1">
      <c r="C1584"/>
      <c r="M1584"/>
    </row>
    <row r="1585" spans="3:13" ht="12.75" customHeight="1">
      <c r="C1585"/>
      <c r="M1585"/>
    </row>
    <row r="1586" spans="3:13" ht="12.75" customHeight="1">
      <c r="C1586"/>
      <c r="M1586"/>
    </row>
    <row r="1587" spans="3:13" ht="12.75" customHeight="1">
      <c r="C1587"/>
      <c r="M1587"/>
    </row>
    <row r="1588" spans="3:13" ht="12.75" customHeight="1">
      <c r="C1588"/>
      <c r="M1588"/>
    </row>
    <row r="1589" spans="3:13" ht="12.75" customHeight="1">
      <c r="C1589"/>
      <c r="M1589"/>
    </row>
    <row r="1590" spans="3:13" ht="12.75" customHeight="1">
      <c r="C1590"/>
      <c r="M1590"/>
    </row>
    <row r="1591" spans="3:13" ht="12.75" customHeight="1">
      <c r="C1591"/>
      <c r="M1591"/>
    </row>
    <row r="1592" spans="3:13" ht="12.75" customHeight="1">
      <c r="C1592"/>
      <c r="M1592"/>
    </row>
    <row r="1593" spans="3:13" ht="12.75" customHeight="1">
      <c r="C1593"/>
      <c r="M1593"/>
    </row>
    <row r="1594" spans="3:13" ht="12.75" customHeight="1">
      <c r="C1594"/>
      <c r="M1594"/>
    </row>
    <row r="1595" spans="3:13" ht="12.75" customHeight="1">
      <c r="C1595"/>
      <c r="M1595"/>
    </row>
    <row r="1596" spans="3:13" ht="12.75" customHeight="1">
      <c r="C1596"/>
      <c r="M1596"/>
    </row>
    <row r="1597" spans="3:13" ht="12.75" customHeight="1">
      <c r="C1597"/>
      <c r="M1597"/>
    </row>
    <row r="1598" spans="3:13" ht="12.75" customHeight="1">
      <c r="C1598"/>
      <c r="M1598"/>
    </row>
    <row r="1599" spans="3:13" ht="12.75" customHeight="1">
      <c r="C1599"/>
      <c r="M1599"/>
    </row>
    <row r="1600" spans="3:13" ht="12.75" customHeight="1">
      <c r="C1600"/>
      <c r="M1600"/>
    </row>
    <row r="1601" spans="3:13" ht="12.75" customHeight="1">
      <c r="C1601"/>
      <c r="M1601"/>
    </row>
    <row r="1602" spans="3:13" ht="12.75" customHeight="1">
      <c r="C1602"/>
      <c r="M1602"/>
    </row>
    <row r="1603" spans="3:13" ht="12.75" customHeight="1">
      <c r="C1603"/>
      <c r="M1603"/>
    </row>
    <row r="1604" spans="3:13" ht="12.75" customHeight="1">
      <c r="C1604"/>
      <c r="M1604"/>
    </row>
    <row r="1605" spans="3:13" ht="12.75" customHeight="1">
      <c r="C1605"/>
      <c r="M1605"/>
    </row>
    <row r="1606" spans="3:13" ht="12.75" customHeight="1">
      <c r="C1606"/>
      <c r="M1606"/>
    </row>
    <row r="1607" spans="3:13" ht="12.75" customHeight="1">
      <c r="C1607"/>
      <c r="M1607"/>
    </row>
    <row r="1608" spans="3:13" ht="12.75" customHeight="1">
      <c r="C1608"/>
      <c r="M1608"/>
    </row>
    <row r="1609" spans="3:13" ht="12.75" customHeight="1">
      <c r="C1609"/>
      <c r="M1609"/>
    </row>
    <row r="1610" spans="3:13" ht="12.75" customHeight="1">
      <c r="C1610"/>
      <c r="M1610"/>
    </row>
    <row r="1611" spans="3:13" ht="12.75" customHeight="1">
      <c r="C1611"/>
      <c r="M1611"/>
    </row>
    <row r="1612" spans="3:13" ht="12.75" customHeight="1">
      <c r="C1612"/>
      <c r="M1612"/>
    </row>
    <row r="1613" spans="3:13" ht="12.75" customHeight="1">
      <c r="C1613"/>
      <c r="M1613"/>
    </row>
    <row r="1614" spans="3:13" ht="12.75" customHeight="1">
      <c r="C1614"/>
      <c r="M1614"/>
    </row>
    <row r="1615" spans="3:13" ht="12.75" customHeight="1">
      <c r="C1615"/>
      <c r="M1615"/>
    </row>
    <row r="1616" spans="3:13" ht="12.75" customHeight="1">
      <c r="C1616"/>
      <c r="M1616"/>
    </row>
    <row r="1617" spans="3:13" ht="12.75" customHeight="1">
      <c r="C1617"/>
      <c r="M1617"/>
    </row>
    <row r="1618" spans="3:13" ht="12.75" customHeight="1">
      <c r="C1618"/>
      <c r="M1618"/>
    </row>
    <row r="1619" spans="3:13" ht="12.75" customHeight="1">
      <c r="C1619"/>
      <c r="M1619"/>
    </row>
    <row r="1620" spans="3:13" ht="12.75" customHeight="1">
      <c r="C1620"/>
      <c r="M1620"/>
    </row>
    <row r="1621" spans="3:13" ht="12.75" customHeight="1">
      <c r="C1621"/>
      <c r="M1621"/>
    </row>
    <row r="1622" spans="3:13" ht="12.75" customHeight="1">
      <c r="C1622"/>
      <c r="M1622"/>
    </row>
    <row r="1623" spans="3:13" ht="12.75" customHeight="1">
      <c r="C1623"/>
      <c r="M1623"/>
    </row>
    <row r="1624" spans="3:13" ht="12.75" customHeight="1">
      <c r="C1624"/>
      <c r="M1624"/>
    </row>
    <row r="1625" spans="3:13" ht="12.75" customHeight="1">
      <c r="C1625"/>
      <c r="M1625"/>
    </row>
    <row r="1626" spans="3:13" ht="12.75" customHeight="1">
      <c r="C1626"/>
      <c r="M1626"/>
    </row>
    <row r="1627" spans="3:13" ht="12.75" customHeight="1">
      <c r="C1627"/>
      <c r="M1627"/>
    </row>
    <row r="1628" spans="3:13" ht="12.75" customHeight="1">
      <c r="C1628"/>
      <c r="M1628"/>
    </row>
    <row r="1629" spans="3:13" ht="12.75" customHeight="1">
      <c r="C1629"/>
      <c r="M1629"/>
    </row>
    <row r="1630" spans="3:13" ht="12.75" customHeight="1">
      <c r="C1630"/>
      <c r="M1630"/>
    </row>
    <row r="1631" spans="3:13" ht="12.75" customHeight="1">
      <c r="C1631"/>
      <c r="M1631"/>
    </row>
    <row r="1632" spans="3:13" ht="12.75" customHeight="1">
      <c r="C1632"/>
      <c r="M1632"/>
    </row>
    <row r="1633" spans="3:13" ht="12.75" customHeight="1">
      <c r="C1633"/>
      <c r="M1633"/>
    </row>
    <row r="1634" spans="3:13" ht="12.75" customHeight="1">
      <c r="C1634"/>
      <c r="M1634"/>
    </row>
    <row r="1635" spans="3:13" ht="12.75" customHeight="1">
      <c r="C1635"/>
      <c r="M1635"/>
    </row>
    <row r="1636" spans="3:13" ht="12.75" customHeight="1">
      <c r="C1636"/>
      <c r="M1636"/>
    </row>
    <row r="1637" spans="3:13" ht="12.75" customHeight="1">
      <c r="C1637"/>
      <c r="M1637"/>
    </row>
    <row r="1638" spans="3:13" ht="12.75" customHeight="1">
      <c r="C1638"/>
      <c r="M1638"/>
    </row>
    <row r="1639" spans="3:13" ht="12.75" customHeight="1">
      <c r="C1639"/>
      <c r="M1639"/>
    </row>
    <row r="1640" spans="3:13" ht="12.75" customHeight="1">
      <c r="C1640"/>
      <c r="M1640"/>
    </row>
    <row r="1641" spans="3:13" ht="12.75" customHeight="1">
      <c r="C1641"/>
      <c r="M1641"/>
    </row>
    <row r="1642" spans="3:13" ht="12.75" customHeight="1">
      <c r="C1642"/>
      <c r="M1642"/>
    </row>
    <row r="1643" spans="3:13" ht="12.75" customHeight="1">
      <c r="C1643"/>
      <c r="M1643"/>
    </row>
    <row r="1644" spans="3:13" ht="12.75" customHeight="1">
      <c r="C1644"/>
      <c r="M1644"/>
    </row>
    <row r="1645" spans="3:13" ht="12.75" customHeight="1">
      <c r="C1645"/>
      <c r="M1645"/>
    </row>
    <row r="1646" spans="3:13" ht="12.75" customHeight="1">
      <c r="C1646"/>
      <c r="M1646"/>
    </row>
    <row r="1647" spans="3:13" ht="12.75" customHeight="1">
      <c r="C1647"/>
      <c r="M1647"/>
    </row>
    <row r="1648" spans="3:13" ht="12.75" customHeight="1">
      <c r="C1648"/>
      <c r="M1648"/>
    </row>
    <row r="1649" spans="3:13" ht="12.75" customHeight="1">
      <c r="C1649"/>
      <c r="M1649"/>
    </row>
    <row r="1650" spans="3:13" ht="12.75" customHeight="1">
      <c r="C1650"/>
      <c r="M1650"/>
    </row>
    <row r="1651" spans="3:13" ht="12.75" customHeight="1">
      <c r="C1651"/>
      <c r="M1651"/>
    </row>
    <row r="1652" spans="3:13" ht="12.75" customHeight="1">
      <c r="C1652"/>
      <c r="M1652"/>
    </row>
    <row r="1653" spans="3:13" ht="12.75" customHeight="1">
      <c r="C1653"/>
      <c r="M1653"/>
    </row>
    <row r="1654" spans="3:13" ht="12.75" customHeight="1">
      <c r="C1654"/>
      <c r="M1654"/>
    </row>
    <row r="1655" spans="3:13" ht="12.75" customHeight="1">
      <c r="C1655"/>
      <c r="M1655"/>
    </row>
    <row r="1656" spans="3:13" ht="12.75" customHeight="1">
      <c r="C1656"/>
      <c r="M1656"/>
    </row>
    <row r="1657" spans="3:13" ht="12.75" customHeight="1">
      <c r="C1657"/>
      <c r="M1657"/>
    </row>
    <row r="1658" spans="3:13" ht="12.75" customHeight="1">
      <c r="C1658"/>
      <c r="M1658"/>
    </row>
    <row r="1659" spans="3:13" ht="12.75" customHeight="1">
      <c r="C1659"/>
      <c r="M1659"/>
    </row>
    <row r="1660" spans="3:13" ht="12.75" customHeight="1">
      <c r="C1660"/>
      <c r="M1660"/>
    </row>
    <row r="1661" spans="3:13" ht="12.75" customHeight="1">
      <c r="C1661"/>
      <c r="M1661"/>
    </row>
    <row r="1662" spans="3:13" ht="12.75" customHeight="1">
      <c r="C1662"/>
      <c r="M1662"/>
    </row>
    <row r="1663" spans="3:13" ht="12.75" customHeight="1">
      <c r="C1663"/>
      <c r="M1663"/>
    </row>
    <row r="1664" spans="3:13" ht="12.75" customHeight="1">
      <c r="C1664"/>
      <c r="M1664"/>
    </row>
    <row r="1665" spans="3:13" ht="12.75" customHeight="1">
      <c r="C1665"/>
      <c r="M1665"/>
    </row>
    <row r="1666" spans="3:13" ht="12.75" customHeight="1">
      <c r="C1666"/>
      <c r="M1666"/>
    </row>
    <row r="1667" spans="3:13" ht="12.75" customHeight="1">
      <c r="C1667"/>
      <c r="M1667"/>
    </row>
    <row r="1668" spans="3:13" ht="12.75" customHeight="1">
      <c r="C1668"/>
      <c r="M1668"/>
    </row>
    <row r="1669" spans="3:13" ht="12.75" customHeight="1">
      <c r="C1669"/>
      <c r="M1669"/>
    </row>
    <row r="1670" spans="3:13" ht="12.75" customHeight="1">
      <c r="C1670"/>
      <c r="M1670"/>
    </row>
    <row r="1671" spans="3:13" ht="12.75" customHeight="1">
      <c r="C1671"/>
      <c r="M1671"/>
    </row>
    <row r="1672" spans="3:13" ht="12.75" customHeight="1">
      <c r="C1672"/>
      <c r="M1672"/>
    </row>
    <row r="1673" spans="3:13" ht="12.75" customHeight="1">
      <c r="C1673"/>
      <c r="M1673"/>
    </row>
    <row r="1674" spans="3:13" ht="12.75" customHeight="1">
      <c r="C1674"/>
      <c r="M1674"/>
    </row>
    <row r="1675" spans="3:13" ht="12.75" customHeight="1">
      <c r="C1675"/>
      <c r="M1675"/>
    </row>
    <row r="1676" spans="3:13" ht="12.75" customHeight="1">
      <c r="C1676"/>
      <c r="M1676"/>
    </row>
    <row r="1677" spans="3:13" ht="12.75" customHeight="1">
      <c r="C1677"/>
      <c r="M1677"/>
    </row>
    <row r="1678" spans="3:13" ht="12.75" customHeight="1">
      <c r="C1678"/>
      <c r="M1678"/>
    </row>
    <row r="1679" spans="3:13" ht="12.75" customHeight="1">
      <c r="C1679"/>
      <c r="M1679"/>
    </row>
    <row r="1680" spans="3:13" ht="12.75" customHeight="1">
      <c r="C1680"/>
      <c r="M1680"/>
    </row>
    <row r="1681" spans="3:13" ht="12.75" customHeight="1">
      <c r="C1681"/>
      <c r="M1681"/>
    </row>
    <row r="1682" spans="3:13" ht="12.75" customHeight="1">
      <c r="C1682"/>
      <c r="M1682"/>
    </row>
    <row r="1683" spans="3:13" ht="12.75" customHeight="1">
      <c r="C1683"/>
      <c r="M1683"/>
    </row>
    <row r="1684" spans="3:13" ht="12.75" customHeight="1">
      <c r="C1684"/>
      <c r="M1684"/>
    </row>
    <row r="1685" spans="3:13" ht="12.75" customHeight="1">
      <c r="C1685"/>
      <c r="M1685"/>
    </row>
    <row r="1686" spans="3:13" ht="12.75" customHeight="1">
      <c r="C1686"/>
      <c r="M1686"/>
    </row>
    <row r="1687" spans="3:13" ht="12.75" customHeight="1">
      <c r="C1687"/>
      <c r="M1687"/>
    </row>
    <row r="1688" spans="3:13" ht="12.75" customHeight="1">
      <c r="C1688"/>
      <c r="M1688"/>
    </row>
    <row r="1689" spans="3:13" ht="12.75" customHeight="1">
      <c r="C1689"/>
      <c r="M1689"/>
    </row>
    <row r="1690" spans="3:13" ht="12.75" customHeight="1">
      <c r="C1690"/>
      <c r="M1690"/>
    </row>
    <row r="1691" spans="3:13" ht="12.75" customHeight="1">
      <c r="C1691"/>
      <c r="M1691"/>
    </row>
    <row r="1692" spans="3:13" ht="12.75" customHeight="1">
      <c r="C1692"/>
      <c r="M1692"/>
    </row>
    <row r="1693" spans="3:13" ht="12.75" customHeight="1">
      <c r="C1693"/>
      <c r="M1693"/>
    </row>
    <row r="1694" spans="3:13" ht="12.75" customHeight="1">
      <c r="C1694"/>
      <c r="M1694"/>
    </row>
    <row r="1695" spans="3:13" ht="12.75" customHeight="1">
      <c r="C1695"/>
      <c r="M1695"/>
    </row>
    <row r="1696" spans="3:13" ht="12.75" customHeight="1">
      <c r="C1696"/>
      <c r="M1696"/>
    </row>
    <row r="1697" spans="3:13" ht="12.75" customHeight="1">
      <c r="C1697"/>
      <c r="M1697"/>
    </row>
    <row r="1698" spans="3:13" ht="12.75" customHeight="1">
      <c r="C1698"/>
      <c r="M1698"/>
    </row>
    <row r="1699" spans="3:13" ht="12.75" customHeight="1">
      <c r="C1699"/>
      <c r="M1699"/>
    </row>
    <row r="1700" spans="3:13" ht="12.75" customHeight="1">
      <c r="C1700"/>
      <c r="M1700"/>
    </row>
    <row r="1701" spans="3:13" ht="12.75" customHeight="1">
      <c r="C1701"/>
      <c r="M1701"/>
    </row>
    <row r="1702" spans="3:13" ht="12.75" customHeight="1">
      <c r="C1702"/>
      <c r="M1702"/>
    </row>
    <row r="1703" spans="3:13" ht="12.75" customHeight="1">
      <c r="C1703"/>
      <c r="M1703"/>
    </row>
    <row r="1704" spans="3:13" ht="12.75" customHeight="1">
      <c r="C1704"/>
      <c r="M1704"/>
    </row>
    <row r="1705" spans="3:13" ht="12.75" customHeight="1">
      <c r="C1705"/>
      <c r="M1705"/>
    </row>
    <row r="1706" spans="3:13" ht="12.75" customHeight="1">
      <c r="C1706"/>
      <c r="M1706"/>
    </row>
    <row r="1707" spans="3:13" ht="12.75" customHeight="1">
      <c r="C1707"/>
      <c r="M1707"/>
    </row>
    <row r="1708" spans="3:13" ht="12.75" customHeight="1">
      <c r="C1708"/>
      <c r="M1708"/>
    </row>
    <row r="1709" spans="3:13" ht="12.75" customHeight="1">
      <c r="C1709"/>
      <c r="M1709"/>
    </row>
    <row r="1710" spans="3:13" ht="12.75" customHeight="1">
      <c r="C1710"/>
      <c r="M1710"/>
    </row>
    <row r="1711" spans="3:13" ht="12.75" customHeight="1">
      <c r="C1711"/>
      <c r="M1711"/>
    </row>
    <row r="1712" spans="3:13" ht="12.75" customHeight="1">
      <c r="C1712"/>
      <c r="M1712"/>
    </row>
    <row r="1713" spans="3:13" ht="12.75" customHeight="1">
      <c r="C1713"/>
      <c r="M1713"/>
    </row>
    <row r="1714" spans="3:13" ht="12.75" customHeight="1">
      <c r="C1714"/>
      <c r="M1714"/>
    </row>
    <row r="1715" spans="3:13" ht="12.75" customHeight="1">
      <c r="C1715"/>
      <c r="M1715"/>
    </row>
    <row r="1716" spans="3:13" ht="12.75" customHeight="1">
      <c r="C1716"/>
      <c r="M1716"/>
    </row>
    <row r="1717" spans="3:13" ht="12.75" customHeight="1">
      <c r="C1717"/>
      <c r="M1717"/>
    </row>
    <row r="1718" spans="3:13" ht="12.75" customHeight="1">
      <c r="C1718"/>
      <c r="M1718"/>
    </row>
    <row r="1719" spans="3:13" ht="12.75" customHeight="1">
      <c r="C1719"/>
      <c r="M1719"/>
    </row>
    <row r="1720" spans="3:13" ht="12.75" customHeight="1">
      <c r="C1720"/>
      <c r="M1720"/>
    </row>
    <row r="1721" spans="3:13" ht="12.75" customHeight="1">
      <c r="C1721"/>
      <c r="M1721"/>
    </row>
    <row r="1722" spans="3:13" ht="12.75" customHeight="1">
      <c r="C1722"/>
      <c r="M1722"/>
    </row>
    <row r="1723" spans="3:13" ht="12.75" customHeight="1">
      <c r="C1723"/>
      <c r="M1723"/>
    </row>
    <row r="1724" spans="3:13" ht="12.75" customHeight="1">
      <c r="C1724"/>
      <c r="M1724"/>
    </row>
    <row r="1725" spans="3:13" ht="12.75" customHeight="1">
      <c r="C1725"/>
      <c r="M1725"/>
    </row>
    <row r="1726" spans="3:13" ht="12.75" customHeight="1">
      <c r="C1726"/>
      <c r="M1726"/>
    </row>
    <row r="1727" spans="3:13" ht="12.75" customHeight="1">
      <c r="C1727"/>
      <c r="M1727"/>
    </row>
    <row r="1728" spans="3:13" ht="12.75" customHeight="1">
      <c r="C1728"/>
      <c r="M1728"/>
    </row>
    <row r="1729" spans="3:13" ht="12.75" customHeight="1">
      <c r="C1729"/>
      <c r="M1729"/>
    </row>
    <row r="1730" spans="3:13" ht="12.75" customHeight="1">
      <c r="C1730"/>
      <c r="M1730"/>
    </row>
    <row r="1731" spans="3:13" ht="12.75" customHeight="1">
      <c r="C1731"/>
      <c r="M1731"/>
    </row>
    <row r="1732" spans="3:13" ht="12.75" customHeight="1">
      <c r="C1732"/>
      <c r="M1732"/>
    </row>
    <row r="1733" spans="3:13" ht="12.75" customHeight="1">
      <c r="C1733"/>
      <c r="M1733"/>
    </row>
    <row r="1734" spans="3:13" ht="12.75" customHeight="1">
      <c r="C1734"/>
      <c r="M1734"/>
    </row>
    <row r="1735" spans="3:13" ht="12.75" customHeight="1">
      <c r="C1735"/>
      <c r="M1735"/>
    </row>
    <row r="1736" spans="3:13" ht="12.75" customHeight="1">
      <c r="C1736"/>
      <c r="M1736"/>
    </row>
    <row r="1737" spans="3:13" ht="12.75" customHeight="1">
      <c r="C1737"/>
      <c r="M1737"/>
    </row>
    <row r="1738" spans="3:13" ht="12.75" customHeight="1">
      <c r="C1738"/>
      <c r="M1738"/>
    </row>
    <row r="1739" spans="3:13" ht="12.75" customHeight="1">
      <c r="C1739"/>
      <c r="M1739"/>
    </row>
    <row r="1740" spans="3:13" ht="12.75" customHeight="1">
      <c r="C1740"/>
      <c r="M1740"/>
    </row>
    <row r="1741" spans="3:13" ht="12.75" customHeight="1">
      <c r="C1741"/>
      <c r="M1741"/>
    </row>
    <row r="1742" spans="3:13" ht="12.75" customHeight="1">
      <c r="C1742"/>
      <c r="M1742"/>
    </row>
    <row r="1743" spans="3:13" ht="12.75" customHeight="1">
      <c r="C1743"/>
      <c r="M1743"/>
    </row>
    <row r="1744" spans="3:13" ht="12.75" customHeight="1">
      <c r="C1744"/>
      <c r="M1744"/>
    </row>
    <row r="1745" spans="3:13" ht="12.75" customHeight="1">
      <c r="C1745"/>
      <c r="M1745"/>
    </row>
    <row r="1746" spans="3:13" ht="12.75" customHeight="1">
      <c r="C1746"/>
      <c r="M1746"/>
    </row>
    <row r="1747" spans="3:13" ht="12.75" customHeight="1">
      <c r="C1747"/>
      <c r="M1747"/>
    </row>
    <row r="1748" spans="3:13" ht="12.75" customHeight="1">
      <c r="C1748"/>
      <c r="M1748"/>
    </row>
    <row r="1749" spans="3:13" ht="12.75" customHeight="1">
      <c r="C1749"/>
      <c r="M1749"/>
    </row>
    <row r="1750" spans="3:13" ht="12.75" customHeight="1">
      <c r="C1750"/>
      <c r="M1750"/>
    </row>
    <row r="1751" spans="3:13" ht="12.75" customHeight="1">
      <c r="C1751"/>
      <c r="M1751"/>
    </row>
    <row r="1752" spans="3:13" ht="12.75" customHeight="1">
      <c r="C1752"/>
      <c r="M1752"/>
    </row>
    <row r="1753" spans="3:13" ht="12.75" customHeight="1">
      <c r="C1753"/>
      <c r="M1753"/>
    </row>
    <row r="1754" spans="3:13" ht="12.75" customHeight="1">
      <c r="C1754"/>
      <c r="M1754"/>
    </row>
    <row r="1755" spans="3:13" ht="12.75" customHeight="1">
      <c r="C1755"/>
      <c r="M1755"/>
    </row>
    <row r="1756" spans="3:13" ht="12.75" customHeight="1">
      <c r="C1756"/>
      <c r="M1756"/>
    </row>
    <row r="1757" spans="3:13" ht="12.75" customHeight="1">
      <c r="C1757"/>
      <c r="M1757"/>
    </row>
    <row r="1758" spans="3:13" ht="12.75" customHeight="1">
      <c r="C1758"/>
      <c r="M1758"/>
    </row>
    <row r="1759" spans="3:13" ht="12.75" customHeight="1">
      <c r="C1759"/>
      <c r="M1759"/>
    </row>
    <row r="1760" spans="3:13" ht="12.75" customHeight="1">
      <c r="C1760"/>
      <c r="M1760"/>
    </row>
    <row r="1761" spans="3:13" ht="12.75" customHeight="1">
      <c r="C1761"/>
      <c r="M1761"/>
    </row>
    <row r="1762" spans="3:13" ht="12.75" customHeight="1">
      <c r="C1762"/>
      <c r="M1762"/>
    </row>
    <row r="1763" spans="3:13" ht="12.75" customHeight="1">
      <c r="C1763"/>
      <c r="M1763"/>
    </row>
    <row r="1764" spans="3:13" ht="12.75" customHeight="1">
      <c r="C1764"/>
      <c r="M1764"/>
    </row>
    <row r="1765" spans="3:13" ht="12.75" customHeight="1">
      <c r="C1765"/>
      <c r="M1765"/>
    </row>
    <row r="1766" spans="3:13" ht="12.75" customHeight="1">
      <c r="C1766"/>
      <c r="M1766"/>
    </row>
    <row r="1767" spans="3:13" ht="12.75" customHeight="1">
      <c r="C1767"/>
      <c r="M1767"/>
    </row>
    <row r="1768" spans="3:13" ht="12.75" customHeight="1">
      <c r="C1768"/>
      <c r="M1768"/>
    </row>
    <row r="1769" spans="3:13" ht="12.75" customHeight="1">
      <c r="C1769"/>
      <c r="M1769"/>
    </row>
    <row r="1770" spans="3:13" ht="12.75" customHeight="1">
      <c r="C1770"/>
      <c r="M1770"/>
    </row>
    <row r="1771" spans="3:13" ht="12.75" customHeight="1">
      <c r="C1771"/>
      <c r="M1771"/>
    </row>
    <row r="1772" spans="3:13" ht="12.75" customHeight="1">
      <c r="C1772"/>
      <c r="M1772"/>
    </row>
    <row r="1773" spans="3:13" ht="12.75" customHeight="1">
      <c r="C1773"/>
      <c r="M1773"/>
    </row>
    <row r="1774" spans="3:13" ht="12.75" customHeight="1">
      <c r="C1774"/>
      <c r="M1774"/>
    </row>
    <row r="1775" spans="3:13" ht="12.75" customHeight="1">
      <c r="C1775"/>
      <c r="M1775"/>
    </row>
    <row r="1776" spans="3:13" ht="12.75" customHeight="1">
      <c r="C1776"/>
      <c r="M1776"/>
    </row>
    <row r="1777" spans="3:13" ht="12.75" customHeight="1">
      <c r="C1777"/>
      <c r="M1777"/>
    </row>
    <row r="1778" spans="3:13" ht="12.75" customHeight="1">
      <c r="C1778"/>
      <c r="M1778"/>
    </row>
    <row r="1779" spans="3:13" ht="12.75" customHeight="1">
      <c r="C1779"/>
      <c r="M1779"/>
    </row>
    <row r="1780" spans="3:13" ht="12.75" customHeight="1">
      <c r="C1780"/>
      <c r="M1780"/>
    </row>
    <row r="1781" spans="3:13" ht="12.75" customHeight="1">
      <c r="C1781"/>
      <c r="M1781"/>
    </row>
    <row r="1782" spans="3:13" ht="12.75" customHeight="1">
      <c r="C1782"/>
      <c r="M1782"/>
    </row>
    <row r="1783" spans="3:13" ht="12.75" customHeight="1">
      <c r="C1783"/>
      <c r="M1783"/>
    </row>
    <row r="1784" spans="3:13" ht="12.75" customHeight="1">
      <c r="C1784"/>
      <c r="M1784"/>
    </row>
    <row r="1785" spans="3:13" ht="12.75" customHeight="1">
      <c r="C1785"/>
      <c r="M1785"/>
    </row>
    <row r="1786" spans="3:13" ht="12.75" customHeight="1">
      <c r="C1786"/>
      <c r="M1786"/>
    </row>
    <row r="1787" spans="3:13" ht="12.75" customHeight="1">
      <c r="C1787"/>
      <c r="M1787"/>
    </row>
    <row r="1788" spans="3:13" ht="12.75" customHeight="1">
      <c r="C1788"/>
      <c r="M1788"/>
    </row>
    <row r="1789" spans="3:13" ht="12.75" customHeight="1">
      <c r="C1789"/>
      <c r="M1789"/>
    </row>
    <row r="1790" spans="3:13" ht="12.75" customHeight="1">
      <c r="C1790"/>
      <c r="M1790"/>
    </row>
    <row r="1791" spans="3:13" ht="12.75" customHeight="1">
      <c r="C1791"/>
      <c r="M1791"/>
    </row>
    <row r="1792" spans="3:13" ht="12.75" customHeight="1">
      <c r="C1792"/>
      <c r="M1792"/>
    </row>
    <row r="1793" spans="3:13" ht="12.75" customHeight="1">
      <c r="C1793"/>
      <c r="M1793"/>
    </row>
    <row r="1794" spans="3:13" ht="12.75" customHeight="1">
      <c r="C1794"/>
      <c r="M1794"/>
    </row>
    <row r="1795" spans="3:13" ht="12.75" customHeight="1">
      <c r="C1795"/>
      <c r="M1795"/>
    </row>
    <row r="1796" spans="3:13" ht="12.75" customHeight="1">
      <c r="C1796"/>
      <c r="M1796"/>
    </row>
    <row r="1797" spans="3:13" ht="12.75" customHeight="1">
      <c r="C1797"/>
      <c r="M1797"/>
    </row>
    <row r="1798" spans="3:13" ht="12.75" customHeight="1">
      <c r="C1798"/>
      <c r="M1798"/>
    </row>
    <row r="1799" spans="3:13" ht="12.75" customHeight="1">
      <c r="C1799"/>
      <c r="M1799"/>
    </row>
    <row r="1800" spans="3:13" ht="12.75" customHeight="1">
      <c r="C1800"/>
      <c r="M1800"/>
    </row>
    <row r="1801" spans="3:13" ht="12.75" customHeight="1">
      <c r="C1801"/>
      <c r="M1801"/>
    </row>
    <row r="1802" spans="3:13" ht="12.75" customHeight="1">
      <c r="C1802"/>
      <c r="M1802"/>
    </row>
    <row r="1803" spans="3:13" ht="12.75" customHeight="1">
      <c r="C1803"/>
      <c r="M1803"/>
    </row>
    <row r="1804" spans="3:13" ht="12.75" customHeight="1">
      <c r="C1804"/>
      <c r="M1804"/>
    </row>
    <row r="1805" spans="3:13" ht="12.75" customHeight="1">
      <c r="C1805"/>
      <c r="M1805"/>
    </row>
    <row r="1806" spans="3:13" ht="12.75" customHeight="1">
      <c r="C1806"/>
      <c r="M1806"/>
    </row>
    <row r="1807" spans="3:13" ht="12.75" customHeight="1">
      <c r="C1807"/>
      <c r="M1807"/>
    </row>
    <row r="1808" spans="3:13" ht="12.75" customHeight="1">
      <c r="C1808"/>
      <c r="M1808"/>
    </row>
    <row r="1809" spans="3:13" ht="12.75" customHeight="1">
      <c r="C1809"/>
      <c r="M1809"/>
    </row>
    <row r="1810" spans="3:13" ht="12.75" customHeight="1">
      <c r="C1810"/>
      <c r="M1810"/>
    </row>
    <row r="1811" spans="3:13" ht="12.75" customHeight="1">
      <c r="C1811"/>
      <c r="M1811"/>
    </row>
    <row r="1812" spans="3:13" ht="12.75" customHeight="1">
      <c r="C1812"/>
      <c r="M1812"/>
    </row>
    <row r="1813" spans="3:13" ht="12.75" customHeight="1">
      <c r="C1813"/>
      <c r="M1813"/>
    </row>
    <row r="1814" spans="3:13" ht="12.75" customHeight="1">
      <c r="C1814"/>
      <c r="M1814"/>
    </row>
    <row r="1815" spans="3:13" ht="12.75" customHeight="1">
      <c r="C1815"/>
      <c r="M1815"/>
    </row>
    <row r="1816" spans="3:13" ht="12.75" customHeight="1">
      <c r="C1816"/>
      <c r="M1816"/>
    </row>
    <row r="1817" spans="3:13" ht="12.75" customHeight="1">
      <c r="C1817"/>
      <c r="M1817"/>
    </row>
    <row r="1818" spans="3:13" ht="12.75" customHeight="1">
      <c r="C1818"/>
      <c r="M1818"/>
    </row>
    <row r="1819" spans="3:13" ht="12.75" customHeight="1">
      <c r="C1819"/>
      <c r="M1819"/>
    </row>
    <row r="1820" spans="3:13" ht="12.75" customHeight="1">
      <c r="C1820"/>
      <c r="M1820"/>
    </row>
    <row r="1821" spans="3:13" ht="12.75" customHeight="1">
      <c r="C1821"/>
      <c r="M1821"/>
    </row>
    <row r="1822" spans="3:13" ht="12.75" customHeight="1">
      <c r="C1822"/>
      <c r="M1822"/>
    </row>
    <row r="1823" spans="3:13" ht="12.75" customHeight="1">
      <c r="C1823"/>
      <c r="M1823"/>
    </row>
    <row r="1824" spans="3:13" ht="12.75" customHeight="1">
      <c r="C1824"/>
      <c r="M1824"/>
    </row>
    <row r="1825" spans="3:13" ht="12.75" customHeight="1">
      <c r="C1825"/>
      <c r="M1825"/>
    </row>
    <row r="1826" spans="3:13" ht="12.75" customHeight="1">
      <c r="C1826"/>
      <c r="M1826"/>
    </row>
    <row r="1827" spans="3:13" ht="12.75" customHeight="1">
      <c r="C1827"/>
      <c r="M1827"/>
    </row>
    <row r="1828" spans="3:13" ht="12.75" customHeight="1">
      <c r="C1828"/>
      <c r="M1828"/>
    </row>
    <row r="1829" spans="3:13" ht="12.75" customHeight="1">
      <c r="C1829"/>
      <c r="M1829"/>
    </row>
    <row r="1830" spans="3:13" ht="12.75" customHeight="1">
      <c r="C1830"/>
      <c r="M1830"/>
    </row>
    <row r="1831" spans="3:13" ht="12.75" customHeight="1">
      <c r="C1831"/>
      <c r="M1831"/>
    </row>
    <row r="1832" spans="3:13" ht="12.75" customHeight="1">
      <c r="C1832"/>
      <c r="M1832"/>
    </row>
    <row r="1833" spans="3:13" ht="12.75" customHeight="1">
      <c r="C1833"/>
      <c r="M1833"/>
    </row>
    <row r="1834" spans="3:13" ht="12.75" customHeight="1">
      <c r="C1834"/>
      <c r="M1834"/>
    </row>
    <row r="1835" spans="3:13" ht="12.75" customHeight="1">
      <c r="C1835"/>
      <c r="M1835"/>
    </row>
    <row r="1836" spans="3:13" ht="12.75" customHeight="1">
      <c r="C1836"/>
      <c r="M1836"/>
    </row>
    <row r="1837" spans="3:13" ht="12.75" customHeight="1">
      <c r="C1837"/>
      <c r="M1837"/>
    </row>
    <row r="1838" spans="3:13" ht="12.75" customHeight="1">
      <c r="C1838"/>
      <c r="M1838"/>
    </row>
    <row r="1839" spans="3:13" ht="12.75" customHeight="1">
      <c r="C1839"/>
      <c r="M1839"/>
    </row>
    <row r="1840" spans="3:13" ht="12.75" customHeight="1">
      <c r="C1840"/>
      <c r="M1840"/>
    </row>
    <row r="1841" spans="3:13" ht="12.75" customHeight="1">
      <c r="C1841"/>
      <c r="M1841"/>
    </row>
    <row r="1842" spans="3:13" ht="12.75" customHeight="1">
      <c r="C1842"/>
      <c r="M1842"/>
    </row>
    <row r="1843" spans="3:13" ht="12.75" customHeight="1">
      <c r="C1843"/>
      <c r="M1843"/>
    </row>
    <row r="1844" spans="3:13" ht="12.75" customHeight="1">
      <c r="C1844"/>
      <c r="M1844"/>
    </row>
    <row r="1845" spans="3:13" ht="12.75" customHeight="1">
      <c r="C1845"/>
      <c r="M1845"/>
    </row>
    <row r="1846" spans="3:13" ht="12.75" customHeight="1">
      <c r="C1846"/>
      <c r="M1846"/>
    </row>
    <row r="1847" spans="3:13" ht="12.75" customHeight="1">
      <c r="C1847"/>
      <c r="M1847"/>
    </row>
    <row r="1848" spans="3:13" ht="12.75" customHeight="1">
      <c r="C1848"/>
      <c r="M1848"/>
    </row>
    <row r="1849" spans="3:13" ht="12.75" customHeight="1">
      <c r="C1849"/>
      <c r="M1849"/>
    </row>
    <row r="1850" spans="3:13" ht="12.75" customHeight="1">
      <c r="C1850"/>
      <c r="M1850"/>
    </row>
    <row r="1851" spans="3:13" ht="12.75" customHeight="1">
      <c r="C1851"/>
      <c r="M1851"/>
    </row>
    <row r="1852" spans="3:13" ht="12.75" customHeight="1">
      <c r="C1852"/>
      <c r="M1852"/>
    </row>
    <row r="1853" spans="3:13" ht="12.75" customHeight="1">
      <c r="C1853"/>
      <c r="M1853"/>
    </row>
    <row r="1854" spans="3:13" ht="12.75" customHeight="1">
      <c r="C1854"/>
      <c r="M1854"/>
    </row>
    <row r="1855" spans="3:13" ht="12.75" customHeight="1">
      <c r="C1855"/>
      <c r="M1855"/>
    </row>
    <row r="1856" spans="3:13" ht="12.75" customHeight="1">
      <c r="C1856"/>
      <c r="M1856"/>
    </row>
    <row r="1857" spans="3:13" ht="12.75" customHeight="1">
      <c r="C1857"/>
      <c r="M1857"/>
    </row>
    <row r="1858" spans="3:13" ht="12.75" customHeight="1">
      <c r="C1858"/>
      <c r="M1858"/>
    </row>
    <row r="1859" spans="3:13" ht="12.75" customHeight="1">
      <c r="C1859"/>
      <c r="M1859"/>
    </row>
    <row r="1860" spans="3:13" ht="12.75" customHeight="1">
      <c r="C1860"/>
      <c r="M1860"/>
    </row>
    <row r="1861" spans="3:13" ht="12.75" customHeight="1">
      <c r="C1861"/>
      <c r="M1861"/>
    </row>
    <row r="1862" spans="3:13" ht="12.75" customHeight="1">
      <c r="C1862"/>
      <c r="M1862"/>
    </row>
    <row r="1863" spans="3:13" ht="12.75" customHeight="1">
      <c r="C1863"/>
      <c r="M1863"/>
    </row>
    <row r="1864" spans="3:13" ht="12.75" customHeight="1">
      <c r="C1864"/>
      <c r="M1864"/>
    </row>
    <row r="1865" spans="3:13" ht="12.75" customHeight="1">
      <c r="C1865"/>
      <c r="M1865"/>
    </row>
    <row r="1866" spans="3:13" ht="12.75" customHeight="1">
      <c r="C1866"/>
      <c r="M1866"/>
    </row>
    <row r="1867" spans="3:13" ht="12.75" customHeight="1">
      <c r="C1867"/>
      <c r="M1867"/>
    </row>
    <row r="1868" spans="3:13" ht="12.75" customHeight="1">
      <c r="C1868"/>
      <c r="M1868"/>
    </row>
    <row r="1869" spans="3:13" ht="12.75" customHeight="1">
      <c r="C1869"/>
      <c r="M1869"/>
    </row>
    <row r="1870" spans="3:13" ht="12.75" customHeight="1">
      <c r="C1870"/>
      <c r="M1870"/>
    </row>
    <row r="1871" spans="3:13" ht="12.75" customHeight="1">
      <c r="C1871"/>
      <c r="M1871"/>
    </row>
    <row r="1872" spans="3:13" ht="12.75" customHeight="1">
      <c r="C1872"/>
      <c r="M1872"/>
    </row>
    <row r="1873" spans="3:13" ht="12.75" customHeight="1">
      <c r="C1873"/>
      <c r="M1873"/>
    </row>
    <row r="1874" spans="3:13" ht="12.75" customHeight="1">
      <c r="C1874"/>
      <c r="M1874"/>
    </row>
    <row r="1875" spans="3:13" ht="12.75" customHeight="1">
      <c r="C1875"/>
      <c r="M1875"/>
    </row>
    <row r="1876" spans="3:13" ht="12.75" customHeight="1">
      <c r="C1876"/>
      <c r="M1876"/>
    </row>
    <row r="1877" spans="3:13" ht="12.75" customHeight="1">
      <c r="C1877"/>
      <c r="M1877"/>
    </row>
    <row r="1878" spans="3:13" ht="12.75" customHeight="1">
      <c r="C1878"/>
      <c r="M1878"/>
    </row>
    <row r="1879" spans="3:13" ht="12.75" customHeight="1">
      <c r="C1879"/>
      <c r="M1879"/>
    </row>
    <row r="1880" spans="3:13" ht="12.75" customHeight="1">
      <c r="C1880"/>
      <c r="M1880"/>
    </row>
    <row r="1881" spans="3:13" ht="12.75" customHeight="1">
      <c r="C1881"/>
      <c r="M1881"/>
    </row>
    <row r="1882" spans="3:13" ht="12.75" customHeight="1">
      <c r="C1882"/>
      <c r="M1882"/>
    </row>
    <row r="1883" spans="3:13" ht="12.75" customHeight="1">
      <c r="C1883"/>
      <c r="M1883"/>
    </row>
    <row r="1884" spans="3:13" ht="12.75" customHeight="1">
      <c r="C1884"/>
      <c r="M1884"/>
    </row>
    <row r="1885" spans="3:13" ht="12.75" customHeight="1">
      <c r="C1885"/>
      <c r="M1885"/>
    </row>
    <row r="1886" spans="3:13" ht="12.75" customHeight="1">
      <c r="C1886"/>
      <c r="M1886"/>
    </row>
    <row r="1887" spans="3:13" ht="12.75" customHeight="1">
      <c r="C1887"/>
      <c r="M1887"/>
    </row>
    <row r="1888" spans="3:13" ht="12.75" customHeight="1">
      <c r="C1888"/>
      <c r="M1888"/>
    </row>
    <row r="1889" spans="3:13" ht="12.75" customHeight="1">
      <c r="C1889"/>
      <c r="M1889"/>
    </row>
    <row r="1890" spans="3:13" ht="12.75" customHeight="1">
      <c r="C1890"/>
      <c r="M1890"/>
    </row>
    <row r="1891" spans="3:13" ht="12.75" customHeight="1">
      <c r="C1891"/>
      <c r="M1891"/>
    </row>
    <row r="1892" spans="3:13" ht="12.75" customHeight="1">
      <c r="C1892"/>
      <c r="M1892"/>
    </row>
    <row r="1893" spans="3:13" ht="12.75" customHeight="1">
      <c r="C1893"/>
      <c r="M1893"/>
    </row>
    <row r="1894" spans="3:13" ht="12.75" customHeight="1">
      <c r="C1894"/>
      <c r="M1894"/>
    </row>
    <row r="1895" spans="3:13" ht="12.75" customHeight="1">
      <c r="C1895"/>
      <c r="M1895"/>
    </row>
    <row r="1896" spans="3:13" ht="12.75" customHeight="1">
      <c r="C1896"/>
      <c r="M1896"/>
    </row>
    <row r="1897" spans="3:13" ht="12.75" customHeight="1">
      <c r="C1897"/>
      <c r="M1897"/>
    </row>
    <row r="1898" spans="3:13" ht="12.75" customHeight="1">
      <c r="C1898"/>
      <c r="M1898"/>
    </row>
    <row r="1899" spans="3:13" ht="12.75" customHeight="1">
      <c r="C1899"/>
      <c r="M1899"/>
    </row>
    <row r="1900" spans="3:13" ht="12.75" customHeight="1">
      <c r="C1900"/>
      <c r="M1900"/>
    </row>
    <row r="1901" spans="3:13" ht="12.75" customHeight="1">
      <c r="C1901"/>
      <c r="M1901"/>
    </row>
    <row r="1902" spans="3:13" ht="12.75" customHeight="1">
      <c r="C1902"/>
      <c r="M1902"/>
    </row>
    <row r="1903" spans="3:13" ht="12.75" customHeight="1">
      <c r="C1903"/>
      <c r="M1903"/>
    </row>
    <row r="1904" spans="3:13" ht="12.75" customHeight="1">
      <c r="C1904"/>
      <c r="M1904"/>
    </row>
    <row r="1905" spans="3:13" ht="12.75" customHeight="1">
      <c r="C1905"/>
      <c r="M1905"/>
    </row>
    <row r="1906" spans="3:13" ht="12.75" customHeight="1">
      <c r="C1906"/>
      <c r="M1906"/>
    </row>
    <row r="1907" spans="3:13" ht="12.75" customHeight="1">
      <c r="C1907"/>
      <c r="M1907"/>
    </row>
    <row r="1908" spans="3:13" ht="12.75" customHeight="1">
      <c r="C1908"/>
      <c r="M1908"/>
    </row>
    <row r="1909" spans="3:13" ht="12.75" customHeight="1">
      <c r="C1909"/>
      <c r="M1909"/>
    </row>
    <row r="1910" spans="3:13" ht="12.75" customHeight="1">
      <c r="C1910"/>
      <c r="M1910"/>
    </row>
    <row r="1911" spans="3:13" ht="12.75" customHeight="1">
      <c r="C1911"/>
      <c r="M1911"/>
    </row>
    <row r="1912" spans="3:13" ht="12.75" customHeight="1">
      <c r="C1912"/>
      <c r="M1912"/>
    </row>
    <row r="1913" spans="3:13" ht="12.75" customHeight="1">
      <c r="C1913"/>
      <c r="M1913"/>
    </row>
    <row r="1914" spans="3:13" ht="12.75" customHeight="1">
      <c r="C1914"/>
      <c r="M1914"/>
    </row>
    <row r="1915" spans="3:13" ht="12.75" customHeight="1">
      <c r="C1915"/>
      <c r="M1915"/>
    </row>
    <row r="1916" spans="3:13" ht="12.75" customHeight="1">
      <c r="C1916"/>
      <c r="M1916"/>
    </row>
    <row r="1917" spans="3:13" ht="12.75" customHeight="1">
      <c r="C1917"/>
      <c r="M1917"/>
    </row>
    <row r="1918" spans="3:13" ht="12.75" customHeight="1">
      <c r="C1918"/>
      <c r="M1918"/>
    </row>
    <row r="1919" spans="3:13" ht="12.75" customHeight="1">
      <c r="C1919"/>
      <c r="M1919"/>
    </row>
    <row r="1920" spans="3:13" ht="12.75" customHeight="1">
      <c r="C1920"/>
      <c r="M1920"/>
    </row>
    <row r="1921" spans="3:13" ht="12.75" customHeight="1">
      <c r="C1921"/>
      <c r="M1921"/>
    </row>
    <row r="1922" spans="3:13" ht="12.75" customHeight="1">
      <c r="C1922"/>
      <c r="M1922"/>
    </row>
    <row r="1923" spans="3:13" ht="12.75" customHeight="1">
      <c r="C1923"/>
      <c r="M1923"/>
    </row>
    <row r="1924" spans="3:13" ht="12.75" customHeight="1">
      <c r="C1924"/>
      <c r="M1924"/>
    </row>
    <row r="1925" spans="3:13" ht="12.75" customHeight="1">
      <c r="C1925"/>
      <c r="M1925"/>
    </row>
    <row r="1926" spans="3:13" ht="12.75" customHeight="1">
      <c r="C1926"/>
      <c r="M1926"/>
    </row>
    <row r="1927" spans="3:13" ht="12.75" customHeight="1">
      <c r="C1927"/>
      <c r="M1927"/>
    </row>
    <row r="1928" spans="3:13" ht="12.75" customHeight="1">
      <c r="C1928"/>
      <c r="M1928"/>
    </row>
    <row r="1929" spans="3:13" ht="12.75" customHeight="1">
      <c r="C1929"/>
      <c r="M1929"/>
    </row>
    <row r="1930" spans="3:13" ht="12.75" customHeight="1">
      <c r="C1930"/>
      <c r="M1930"/>
    </row>
    <row r="1931" spans="3:13" ht="12.75" customHeight="1">
      <c r="C1931"/>
      <c r="M1931"/>
    </row>
    <row r="1932" spans="3:13" ht="12.75" customHeight="1">
      <c r="C1932"/>
      <c r="M1932"/>
    </row>
    <row r="1933" spans="3:13" ht="12.75" customHeight="1">
      <c r="C1933"/>
      <c r="M1933"/>
    </row>
    <row r="1934" spans="3:13" ht="12.75" customHeight="1">
      <c r="C1934"/>
      <c r="M1934"/>
    </row>
    <row r="1935" spans="3:13" ht="12.75" customHeight="1">
      <c r="C1935"/>
      <c r="M1935"/>
    </row>
    <row r="1936" spans="3:13" ht="12.75" customHeight="1">
      <c r="C1936"/>
      <c r="M1936"/>
    </row>
    <row r="1937" spans="3:13" ht="12.75" customHeight="1">
      <c r="C1937"/>
      <c r="M1937"/>
    </row>
    <row r="1938" spans="3:13" ht="12.75" customHeight="1">
      <c r="C1938"/>
      <c r="M1938"/>
    </row>
    <row r="1939" spans="3:13" ht="12.75" customHeight="1">
      <c r="C1939"/>
      <c r="M1939"/>
    </row>
    <row r="1940" spans="3:13" ht="12.75" customHeight="1">
      <c r="C1940"/>
      <c r="M1940"/>
    </row>
    <row r="1941" spans="3:13" ht="12.75" customHeight="1">
      <c r="C1941"/>
      <c r="M1941"/>
    </row>
    <row r="1942" spans="3:13" ht="12.75" customHeight="1">
      <c r="C1942"/>
      <c r="M1942"/>
    </row>
    <row r="1943" spans="3:13" ht="12.75" customHeight="1">
      <c r="C1943"/>
      <c r="M1943"/>
    </row>
    <row r="1944" spans="3:13" ht="12.75" customHeight="1">
      <c r="C1944"/>
      <c r="M1944"/>
    </row>
    <row r="1945" spans="3:13" ht="12.75" customHeight="1">
      <c r="C1945"/>
      <c r="M1945"/>
    </row>
    <row r="1946" spans="3:13" ht="12.75" customHeight="1">
      <c r="C1946"/>
      <c r="M1946"/>
    </row>
    <row r="1947" spans="3:13" ht="12.75" customHeight="1">
      <c r="C1947"/>
      <c r="M1947"/>
    </row>
    <row r="1948" spans="3:13" ht="12.75" customHeight="1">
      <c r="C1948"/>
      <c r="M1948"/>
    </row>
    <row r="1949" spans="3:13" ht="12.75" customHeight="1">
      <c r="C1949"/>
      <c r="M1949"/>
    </row>
    <row r="1950" spans="3:13" ht="12.75" customHeight="1">
      <c r="C1950"/>
      <c r="M1950"/>
    </row>
    <row r="1951" spans="3:13" ht="12.75" customHeight="1">
      <c r="C1951"/>
      <c r="M1951"/>
    </row>
    <row r="1952" spans="3:13" ht="12.75" customHeight="1">
      <c r="C1952"/>
      <c r="M1952"/>
    </row>
    <row r="1953" spans="3:13" ht="12.75" customHeight="1">
      <c r="C1953"/>
      <c r="M1953"/>
    </row>
    <row r="1954" spans="3:13" ht="12.75" customHeight="1">
      <c r="C1954"/>
      <c r="M1954"/>
    </row>
    <row r="1955" spans="3:13" ht="12.75" customHeight="1">
      <c r="C1955"/>
      <c r="M1955"/>
    </row>
    <row r="1956" spans="3:13" ht="12.75" customHeight="1">
      <c r="C1956"/>
      <c r="M1956"/>
    </row>
    <row r="1957" spans="3:13" ht="12.75" customHeight="1">
      <c r="C1957"/>
      <c r="M1957"/>
    </row>
    <row r="1958" spans="3:13" ht="12.75" customHeight="1">
      <c r="C1958"/>
      <c r="M1958"/>
    </row>
    <row r="1959" spans="3:13" ht="12.75" customHeight="1">
      <c r="C1959"/>
      <c r="M1959"/>
    </row>
    <row r="1960" spans="3:13" ht="12.75" customHeight="1">
      <c r="C1960"/>
      <c r="M1960"/>
    </row>
    <row r="1961" spans="3:13" ht="12.75" customHeight="1">
      <c r="C1961"/>
      <c r="M1961"/>
    </row>
    <row r="1962" spans="3:13" ht="12.75" customHeight="1">
      <c r="C1962"/>
      <c r="M1962"/>
    </row>
    <row r="1963" spans="3:13" ht="12.75" customHeight="1">
      <c r="C1963"/>
      <c r="M1963"/>
    </row>
    <row r="1964" spans="3:13" ht="12.75" customHeight="1">
      <c r="C1964"/>
      <c r="M1964"/>
    </row>
    <row r="1965" spans="3:13" ht="12.75" customHeight="1">
      <c r="C1965"/>
      <c r="M1965"/>
    </row>
    <row r="1966" spans="3:13" ht="12.75" customHeight="1">
      <c r="C1966"/>
      <c r="M1966"/>
    </row>
    <row r="1967" spans="3:13" ht="12.75" customHeight="1">
      <c r="C1967"/>
      <c r="M1967"/>
    </row>
    <row r="1968" spans="3:13" ht="12.75" customHeight="1">
      <c r="C1968"/>
      <c r="M1968"/>
    </row>
    <row r="1969" spans="3:13" ht="12.75" customHeight="1">
      <c r="C1969"/>
      <c r="M1969"/>
    </row>
    <row r="1970" spans="3:13" ht="12.75" customHeight="1">
      <c r="C1970"/>
      <c r="M1970"/>
    </row>
    <row r="1971" spans="3:13" ht="12.75" customHeight="1">
      <c r="C1971"/>
      <c r="M1971"/>
    </row>
    <row r="1972" spans="3:13" ht="12.75" customHeight="1">
      <c r="C1972"/>
      <c r="M1972"/>
    </row>
    <row r="1973" spans="3:13" ht="12.75" customHeight="1">
      <c r="C1973"/>
      <c r="M1973"/>
    </row>
    <row r="1974" spans="3:13" ht="12.75" customHeight="1">
      <c r="C1974"/>
      <c r="M1974"/>
    </row>
    <row r="1975" spans="3:13" ht="12.75" customHeight="1">
      <c r="C1975"/>
      <c r="M1975"/>
    </row>
    <row r="1976" spans="3:13" ht="12.75" customHeight="1">
      <c r="C1976"/>
      <c r="M1976"/>
    </row>
    <row r="1977" spans="3:13" ht="12.75" customHeight="1">
      <c r="C1977"/>
      <c r="M1977"/>
    </row>
    <row r="1978" spans="3:13" ht="12.75" customHeight="1">
      <c r="C1978"/>
      <c r="M1978"/>
    </row>
    <row r="1979" spans="3:13" ht="12.75" customHeight="1">
      <c r="C1979"/>
      <c r="M1979"/>
    </row>
    <row r="1980" spans="3:13" ht="12.75" customHeight="1">
      <c r="C1980"/>
      <c r="M1980"/>
    </row>
    <row r="1981" spans="3:13" ht="12.75" customHeight="1">
      <c r="C1981"/>
      <c r="M1981"/>
    </row>
    <row r="1982" spans="3:13" ht="12.75" customHeight="1">
      <c r="C1982"/>
      <c r="M1982"/>
    </row>
    <row r="1983" spans="3:13" ht="12.75" customHeight="1">
      <c r="C1983"/>
      <c r="M1983"/>
    </row>
    <row r="1984" spans="3:13" ht="12.75" customHeight="1">
      <c r="C1984"/>
      <c r="M1984"/>
    </row>
    <row r="1985" spans="3:13" ht="12.75" customHeight="1">
      <c r="C1985"/>
      <c r="M1985"/>
    </row>
    <row r="1986" spans="3:13" ht="12.75" customHeight="1">
      <c r="C1986"/>
      <c r="M1986"/>
    </row>
    <row r="1987" spans="3:13" ht="12.75" customHeight="1">
      <c r="C1987"/>
      <c r="M1987"/>
    </row>
    <row r="1988" spans="3:13" ht="12.75" customHeight="1">
      <c r="C1988"/>
      <c r="M1988"/>
    </row>
    <row r="1989" spans="3:13" ht="12.75" customHeight="1">
      <c r="C1989"/>
      <c r="M1989"/>
    </row>
    <row r="1990" spans="3:13" ht="12.75" customHeight="1">
      <c r="C1990"/>
      <c r="M1990"/>
    </row>
    <row r="1991" spans="3:13" ht="12.75" customHeight="1">
      <c r="C1991"/>
      <c r="M1991"/>
    </row>
    <row r="1992" spans="3:13" ht="12.75" customHeight="1">
      <c r="C1992"/>
      <c r="M1992"/>
    </row>
    <row r="1993" spans="3:13" ht="12.75" customHeight="1">
      <c r="C1993"/>
      <c r="M1993"/>
    </row>
    <row r="1994" spans="3:13" ht="12.75" customHeight="1">
      <c r="C1994"/>
      <c r="M1994"/>
    </row>
    <row r="1995" spans="3:13" ht="12.75" customHeight="1">
      <c r="C1995"/>
      <c r="M1995"/>
    </row>
    <row r="1996" spans="3:13" ht="12.75" customHeight="1">
      <c r="C1996"/>
      <c r="M1996"/>
    </row>
    <row r="1997" spans="3:13" ht="12.75" customHeight="1">
      <c r="C1997"/>
      <c r="M1997"/>
    </row>
    <row r="1998" spans="3:13" ht="12.75" customHeight="1">
      <c r="C1998"/>
      <c r="M1998"/>
    </row>
    <row r="1999" spans="3:13" ht="12.75" customHeight="1">
      <c r="C1999"/>
      <c r="M1999"/>
    </row>
    <row r="2000" spans="3:13" ht="12.75" customHeight="1">
      <c r="C2000"/>
      <c r="M2000"/>
    </row>
    <row r="2001" spans="3:13" ht="12.75" customHeight="1">
      <c r="C2001"/>
      <c r="M2001"/>
    </row>
    <row r="2002" spans="3:13" ht="12.75" customHeight="1">
      <c r="C2002"/>
      <c r="M2002"/>
    </row>
    <row r="2003" spans="3:13" ht="12.75" customHeight="1">
      <c r="C2003"/>
      <c r="M2003"/>
    </row>
    <row r="2004" spans="3:13" ht="12.75" customHeight="1">
      <c r="C2004"/>
      <c r="M2004"/>
    </row>
    <row r="2005" spans="3:13" ht="12.75" customHeight="1">
      <c r="C2005"/>
      <c r="M2005"/>
    </row>
    <row r="2006" spans="3:13" ht="12.75" customHeight="1">
      <c r="C2006"/>
      <c r="M2006"/>
    </row>
    <row r="2007" spans="3:13" ht="12.75" customHeight="1">
      <c r="C2007"/>
      <c r="M2007"/>
    </row>
    <row r="2008" spans="3:13" ht="12.75" customHeight="1">
      <c r="C2008"/>
      <c r="M2008"/>
    </row>
    <row r="2009" spans="3:13" ht="12.75" customHeight="1">
      <c r="C2009"/>
      <c r="M2009"/>
    </row>
    <row r="2010" spans="3:13" ht="12.75" customHeight="1">
      <c r="C2010"/>
      <c r="M2010"/>
    </row>
    <row r="2011" spans="3:13" ht="12.75" customHeight="1">
      <c r="C2011"/>
      <c r="M2011"/>
    </row>
    <row r="2012" spans="3:13" ht="12.75" customHeight="1">
      <c r="C2012"/>
      <c r="M2012"/>
    </row>
    <row r="2013" spans="3:13" ht="12.75" customHeight="1">
      <c r="C2013"/>
      <c r="M2013"/>
    </row>
    <row r="2014" spans="3:13" ht="12.75" customHeight="1">
      <c r="C2014"/>
      <c r="M2014"/>
    </row>
    <row r="2015" spans="3:13" ht="12.75" customHeight="1">
      <c r="C2015"/>
      <c r="M2015"/>
    </row>
    <row r="2016" spans="3:13" ht="12.75" customHeight="1">
      <c r="C2016"/>
      <c r="M2016"/>
    </row>
    <row r="2017" spans="3:13" ht="12.75" customHeight="1">
      <c r="C2017"/>
      <c r="M2017"/>
    </row>
    <row r="2018" spans="3:13" ht="12.75" customHeight="1">
      <c r="C2018"/>
      <c r="M2018"/>
    </row>
    <row r="2019" spans="3:13" ht="12.75" customHeight="1">
      <c r="C2019"/>
      <c r="M2019"/>
    </row>
    <row r="2020" spans="3:13" ht="12.75" customHeight="1">
      <c r="C2020"/>
      <c r="M2020"/>
    </row>
    <row r="2021" spans="3:13" ht="12.75" customHeight="1">
      <c r="C2021"/>
      <c r="M2021"/>
    </row>
    <row r="2022" spans="3:13" ht="12.75" customHeight="1">
      <c r="C2022"/>
      <c r="M2022"/>
    </row>
    <row r="2023" spans="3:13" ht="12.75" customHeight="1">
      <c r="C2023"/>
      <c r="M2023"/>
    </row>
    <row r="2024" spans="3:13" ht="12.75" customHeight="1">
      <c r="C2024"/>
      <c r="M2024"/>
    </row>
    <row r="2025" spans="3:13" ht="12.75" customHeight="1">
      <c r="C2025"/>
      <c r="M2025"/>
    </row>
    <row r="2026" spans="3:13" ht="12.75" customHeight="1">
      <c r="C2026"/>
      <c r="M2026"/>
    </row>
    <row r="2027" spans="3:13" ht="12.75" customHeight="1">
      <c r="C2027"/>
      <c r="M2027"/>
    </row>
    <row r="2028" spans="3:13" ht="12.75" customHeight="1">
      <c r="C2028"/>
      <c r="M2028"/>
    </row>
    <row r="2029" spans="3:13" ht="12.75" customHeight="1">
      <c r="C2029"/>
      <c r="M2029"/>
    </row>
    <row r="2030" spans="3:13" ht="12.75" customHeight="1">
      <c r="C2030"/>
      <c r="M2030"/>
    </row>
    <row r="2031" spans="3:13" ht="12.75" customHeight="1">
      <c r="C2031"/>
      <c r="M2031"/>
    </row>
    <row r="2032" spans="3:13" ht="12.75" customHeight="1">
      <c r="C2032"/>
      <c r="M2032"/>
    </row>
    <row r="2033" spans="3:13" ht="12.75" customHeight="1">
      <c r="C2033"/>
      <c r="M2033"/>
    </row>
    <row r="2034" spans="3:13" ht="12.75" customHeight="1">
      <c r="C2034"/>
      <c r="M2034"/>
    </row>
    <row r="2035" spans="3:13" ht="12.75" customHeight="1">
      <c r="C2035"/>
      <c r="M2035"/>
    </row>
    <row r="2036" spans="3:13" ht="12.75" customHeight="1">
      <c r="C2036"/>
      <c r="M2036"/>
    </row>
    <row r="2037" spans="3:13" ht="12.75" customHeight="1">
      <c r="C2037"/>
      <c r="M2037"/>
    </row>
    <row r="2038" spans="3:13" ht="12.75" customHeight="1">
      <c r="C2038"/>
      <c r="M2038"/>
    </row>
    <row r="2039" spans="3:13" ht="12.75" customHeight="1">
      <c r="C2039"/>
      <c r="M2039"/>
    </row>
    <row r="2040" spans="3:13" ht="12.75" customHeight="1">
      <c r="C2040"/>
      <c r="M2040"/>
    </row>
    <row r="2041" spans="3:13" ht="12.75" customHeight="1">
      <c r="C2041"/>
      <c r="M2041"/>
    </row>
    <row r="2042" spans="3:13" ht="12.75" customHeight="1">
      <c r="C2042"/>
      <c r="M2042"/>
    </row>
    <row r="2043" spans="3:13" ht="12.75" customHeight="1">
      <c r="C2043"/>
      <c r="M2043"/>
    </row>
    <row r="2044" spans="3:13" ht="12.75" customHeight="1">
      <c r="C2044"/>
      <c r="M2044"/>
    </row>
    <row r="2045" spans="3:13" ht="12.75" customHeight="1">
      <c r="C2045"/>
      <c r="M2045"/>
    </row>
    <row r="2046" spans="3:13" ht="12.75" customHeight="1">
      <c r="C2046"/>
      <c r="M2046"/>
    </row>
    <row r="2047" spans="3:13" ht="12.75" customHeight="1">
      <c r="C2047"/>
      <c r="M2047"/>
    </row>
    <row r="2048" spans="3:13" ht="12.75" customHeight="1">
      <c r="C2048"/>
      <c r="M2048"/>
    </row>
    <row r="2049" spans="3:13" ht="12.75" customHeight="1">
      <c r="C2049"/>
      <c r="M2049"/>
    </row>
    <row r="2050" spans="3:13" ht="12.75" customHeight="1">
      <c r="C2050"/>
      <c r="M2050"/>
    </row>
    <row r="2051" spans="3:13" ht="12.75" customHeight="1">
      <c r="C2051"/>
      <c r="M2051"/>
    </row>
    <row r="2052" spans="3:13" ht="12.75" customHeight="1">
      <c r="C2052"/>
      <c r="M2052"/>
    </row>
    <row r="2053" spans="3:13" ht="12.75" customHeight="1">
      <c r="C2053"/>
      <c r="M2053"/>
    </row>
    <row r="2054" spans="3:13" ht="12.75" customHeight="1">
      <c r="C2054"/>
      <c r="M2054"/>
    </row>
    <row r="2055" spans="3:13" ht="12.75" customHeight="1">
      <c r="C2055"/>
      <c r="M2055"/>
    </row>
    <row r="2056" spans="3:13" ht="12.75" customHeight="1">
      <c r="C2056"/>
      <c r="M2056"/>
    </row>
    <row r="2057" spans="3:13" ht="12.75" customHeight="1">
      <c r="C2057"/>
      <c r="M2057"/>
    </row>
    <row r="2058" spans="3:13" ht="12.75" customHeight="1">
      <c r="C2058"/>
      <c r="M2058"/>
    </row>
    <row r="2059" spans="3:13" ht="12.75" customHeight="1">
      <c r="C2059"/>
      <c r="M2059"/>
    </row>
    <row r="2060" spans="3:13" ht="12.75" customHeight="1">
      <c r="C2060"/>
      <c r="M2060"/>
    </row>
    <row r="2061" spans="3:13" ht="12.75" customHeight="1">
      <c r="C2061"/>
      <c r="M2061"/>
    </row>
    <row r="2062" spans="3:13" ht="12.75" customHeight="1">
      <c r="C2062"/>
      <c r="M2062"/>
    </row>
    <row r="2063" spans="3:13" ht="12.75" customHeight="1">
      <c r="C2063"/>
      <c r="M2063"/>
    </row>
    <row r="2064" spans="3:13" ht="12.75" customHeight="1">
      <c r="C2064"/>
      <c r="M2064"/>
    </row>
    <row r="2065" spans="3:13" ht="12.75" customHeight="1">
      <c r="C2065"/>
      <c r="M2065"/>
    </row>
    <row r="2066" spans="3:13" ht="12.75" customHeight="1">
      <c r="C2066"/>
      <c r="M2066"/>
    </row>
    <row r="2067" spans="3:13" ht="12.75" customHeight="1">
      <c r="C2067"/>
      <c r="M2067"/>
    </row>
    <row r="2068" spans="3:13" ht="12.75" customHeight="1">
      <c r="C2068"/>
      <c r="M2068"/>
    </row>
    <row r="2069" spans="3:13" ht="12.75" customHeight="1">
      <c r="C2069"/>
      <c r="M2069"/>
    </row>
    <row r="2070" spans="3:13" ht="12.75" customHeight="1">
      <c r="C2070"/>
      <c r="M2070"/>
    </row>
    <row r="2071" spans="3:13" ht="12.75" customHeight="1">
      <c r="C2071"/>
      <c r="M2071"/>
    </row>
    <row r="2072" spans="3:13" ht="12.75" customHeight="1">
      <c r="C2072"/>
      <c r="M2072"/>
    </row>
    <row r="2073" spans="3:13" ht="12.75" customHeight="1">
      <c r="C2073"/>
      <c r="M2073"/>
    </row>
    <row r="2074" spans="3:13" ht="12.75" customHeight="1">
      <c r="C2074"/>
      <c r="M2074"/>
    </row>
    <row r="2075" spans="3:13" ht="12.75" customHeight="1">
      <c r="C2075"/>
      <c r="M2075"/>
    </row>
    <row r="2076" spans="3:13" ht="12.75" customHeight="1">
      <c r="C2076"/>
      <c r="M2076"/>
    </row>
    <row r="2077" spans="3:13" ht="12.75" customHeight="1">
      <c r="C2077"/>
      <c r="M2077"/>
    </row>
    <row r="2078" spans="3:13" ht="12.75" customHeight="1">
      <c r="C2078"/>
      <c r="M2078"/>
    </row>
    <row r="2079" spans="3:13" ht="12.75" customHeight="1">
      <c r="C2079"/>
      <c r="M2079"/>
    </row>
    <row r="2080" spans="3:13" ht="12.75" customHeight="1">
      <c r="C2080"/>
      <c r="M2080"/>
    </row>
    <row r="2081" spans="3:13" ht="12.75" customHeight="1">
      <c r="C2081"/>
      <c r="M2081"/>
    </row>
    <row r="2082" spans="3:13" ht="12.75" customHeight="1">
      <c r="C2082"/>
      <c r="M2082"/>
    </row>
    <row r="2083" spans="3:13" ht="12.75" customHeight="1">
      <c r="C2083"/>
      <c r="M2083"/>
    </row>
    <row r="2084" spans="3:13" ht="12.75" customHeight="1">
      <c r="C2084"/>
      <c r="M2084"/>
    </row>
    <row r="2085" spans="3:13" ht="12.75" customHeight="1">
      <c r="C2085"/>
      <c r="M2085"/>
    </row>
    <row r="2086" spans="3:13" ht="12.75" customHeight="1">
      <c r="C2086"/>
      <c r="M2086"/>
    </row>
    <row r="2087" spans="3:13" ht="12.75" customHeight="1">
      <c r="C2087"/>
      <c r="M2087"/>
    </row>
    <row r="2088" spans="3:13" ht="12.75" customHeight="1">
      <c r="C2088"/>
      <c r="M2088"/>
    </row>
    <row r="2089" spans="3:13" ht="12.75" customHeight="1">
      <c r="C2089"/>
      <c r="M2089"/>
    </row>
    <row r="2090" spans="3:13" ht="12.75" customHeight="1">
      <c r="C2090"/>
      <c r="M2090"/>
    </row>
    <row r="2091" spans="3:13" ht="12.75" customHeight="1">
      <c r="C2091"/>
      <c r="M2091"/>
    </row>
    <row r="2092" spans="3:13" ht="12.75" customHeight="1">
      <c r="C2092"/>
      <c r="M2092"/>
    </row>
    <row r="2093" spans="3:13" ht="12.75" customHeight="1">
      <c r="C2093"/>
      <c r="M2093"/>
    </row>
    <row r="2094" spans="3:13" ht="12.75" customHeight="1">
      <c r="C2094"/>
      <c r="M2094"/>
    </row>
    <row r="2095" spans="3:13" ht="12.75" customHeight="1">
      <c r="C2095"/>
      <c r="M2095"/>
    </row>
    <row r="2096" spans="3:13" ht="12.75" customHeight="1">
      <c r="C2096"/>
      <c r="M2096"/>
    </row>
    <row r="2097" spans="3:13" ht="12.75" customHeight="1">
      <c r="C2097"/>
      <c r="M2097"/>
    </row>
    <row r="2098" spans="3:13" ht="12.75" customHeight="1">
      <c r="C2098"/>
      <c r="M2098"/>
    </row>
    <row r="2099" spans="3:13" ht="12.75" customHeight="1">
      <c r="C2099"/>
      <c r="M2099"/>
    </row>
    <row r="2100" spans="3:13" ht="12.75" customHeight="1">
      <c r="C2100"/>
      <c r="M2100"/>
    </row>
    <row r="2101" spans="3:13" ht="12.75" customHeight="1">
      <c r="C2101"/>
      <c r="M2101"/>
    </row>
    <row r="2102" spans="3:13" ht="12.75" customHeight="1">
      <c r="C2102"/>
      <c r="M2102"/>
    </row>
    <row r="2103" spans="3:13" ht="12.75" customHeight="1">
      <c r="C2103"/>
      <c r="M2103"/>
    </row>
    <row r="2104" spans="3:13" ht="12.75" customHeight="1">
      <c r="C2104"/>
      <c r="M2104"/>
    </row>
    <row r="2105" spans="3:13" ht="12.75" customHeight="1">
      <c r="C2105"/>
      <c r="M2105"/>
    </row>
    <row r="2106" spans="3:13" ht="12.75" customHeight="1">
      <c r="C2106"/>
      <c r="M2106"/>
    </row>
    <row r="2107" spans="3:13" ht="12.75" customHeight="1">
      <c r="C2107"/>
      <c r="M2107"/>
    </row>
    <row r="2108" spans="3:13" ht="12.75" customHeight="1">
      <c r="C2108"/>
      <c r="M2108"/>
    </row>
    <row r="2109" spans="3:13" ht="12.75" customHeight="1">
      <c r="C2109"/>
      <c r="M2109"/>
    </row>
    <row r="2110" spans="3:13" ht="12.75" customHeight="1">
      <c r="C2110"/>
      <c r="M2110"/>
    </row>
    <row r="2111" spans="3:13" ht="12.75" customHeight="1">
      <c r="C2111"/>
      <c r="M2111"/>
    </row>
    <row r="2112" spans="3:13" ht="12.75" customHeight="1">
      <c r="C2112"/>
      <c r="M2112"/>
    </row>
    <row r="2113" spans="3:13" ht="12.75" customHeight="1">
      <c r="C2113"/>
      <c r="M2113"/>
    </row>
    <row r="2114" spans="3:13" ht="12.75" customHeight="1">
      <c r="C2114"/>
      <c r="M2114"/>
    </row>
    <row r="2115" spans="3:13" ht="12.75" customHeight="1">
      <c r="C2115"/>
      <c r="M2115"/>
    </row>
    <row r="2116" spans="3:13" ht="12.75" customHeight="1">
      <c r="C2116"/>
      <c r="M2116"/>
    </row>
    <row r="2117" spans="3:13" ht="12.75" customHeight="1">
      <c r="C2117"/>
      <c r="M2117"/>
    </row>
    <row r="2118" spans="3:13" ht="12.75" customHeight="1">
      <c r="C2118"/>
      <c r="M2118"/>
    </row>
    <row r="2119" spans="3:13" ht="12.75" customHeight="1">
      <c r="C2119"/>
      <c r="M2119"/>
    </row>
    <row r="2120" spans="3:13" ht="12.75" customHeight="1">
      <c r="C2120"/>
      <c r="M2120"/>
    </row>
    <row r="2121" spans="3:13" ht="12.75" customHeight="1">
      <c r="C2121"/>
      <c r="M2121"/>
    </row>
    <row r="2122" spans="3:13" ht="12.75" customHeight="1">
      <c r="C2122"/>
      <c r="M2122"/>
    </row>
    <row r="2123" spans="3:13" ht="12.75" customHeight="1">
      <c r="C2123"/>
      <c r="M2123"/>
    </row>
    <row r="2124" spans="3:13" ht="12.75" customHeight="1">
      <c r="C2124"/>
      <c r="M2124"/>
    </row>
    <row r="2125" spans="3:13" ht="12.75" customHeight="1">
      <c r="C2125"/>
      <c r="M2125"/>
    </row>
    <row r="2126" spans="3:13" ht="12.75" customHeight="1">
      <c r="C2126"/>
      <c r="M2126"/>
    </row>
    <row r="2127" spans="3:13" ht="12.75" customHeight="1">
      <c r="C2127"/>
      <c r="M2127"/>
    </row>
    <row r="2128" spans="3:13" ht="12.75" customHeight="1">
      <c r="C2128"/>
      <c r="M2128"/>
    </row>
    <row r="2129" spans="3:13" ht="12.75" customHeight="1">
      <c r="C2129"/>
      <c r="M2129"/>
    </row>
    <row r="2130" spans="3:13" ht="12.75" customHeight="1">
      <c r="C2130"/>
      <c r="M2130"/>
    </row>
    <row r="2131" spans="3:13" ht="12.75" customHeight="1">
      <c r="C2131"/>
      <c r="M2131"/>
    </row>
    <row r="2132" spans="3:13" ht="12.75" customHeight="1">
      <c r="C2132"/>
      <c r="M2132"/>
    </row>
    <row r="2133" spans="3:13" ht="12.75" customHeight="1">
      <c r="C2133"/>
      <c r="M2133"/>
    </row>
    <row r="2134" spans="3:13" ht="12.75" customHeight="1">
      <c r="C2134"/>
      <c r="M2134"/>
    </row>
    <row r="2135" spans="3:13" ht="12.75" customHeight="1">
      <c r="C2135"/>
      <c r="M2135"/>
    </row>
    <row r="2136" spans="3:13" ht="12.75" customHeight="1">
      <c r="C2136"/>
      <c r="M2136"/>
    </row>
    <row r="2137" spans="3:13" ht="12.75" customHeight="1">
      <c r="C2137"/>
      <c r="M2137"/>
    </row>
    <row r="2138" spans="3:13" ht="12.75" customHeight="1">
      <c r="C2138"/>
      <c r="M2138"/>
    </row>
    <row r="2139" spans="3:13" ht="12.75" customHeight="1">
      <c r="C2139"/>
      <c r="M2139"/>
    </row>
    <row r="2140" spans="3:13" ht="12.75" customHeight="1">
      <c r="C2140"/>
      <c r="M2140"/>
    </row>
    <row r="2141" spans="3:13" ht="12.75" customHeight="1">
      <c r="C2141"/>
      <c r="M2141"/>
    </row>
    <row r="2142" spans="3:13" ht="12.75" customHeight="1">
      <c r="C2142"/>
      <c r="M2142"/>
    </row>
    <row r="2143" spans="3:13" ht="12.75" customHeight="1">
      <c r="C2143"/>
      <c r="M2143"/>
    </row>
    <row r="2144" spans="3:13" ht="12.75" customHeight="1">
      <c r="C2144"/>
      <c r="M2144"/>
    </row>
    <row r="2145" spans="3:13" ht="12.75" customHeight="1">
      <c r="C2145"/>
      <c r="M2145"/>
    </row>
    <row r="2146" spans="3:13" ht="12.75" customHeight="1">
      <c r="C2146"/>
      <c r="M2146"/>
    </row>
    <row r="2147" spans="3:13" ht="12.75" customHeight="1">
      <c r="C2147"/>
      <c r="M2147"/>
    </row>
    <row r="2148" spans="3:13" ht="12.75" customHeight="1">
      <c r="C2148"/>
      <c r="M2148"/>
    </row>
    <row r="2149" spans="3:13" ht="12.75" customHeight="1">
      <c r="C2149"/>
      <c r="M2149"/>
    </row>
    <row r="2150" spans="3:13" ht="12.75" customHeight="1">
      <c r="C2150"/>
      <c r="M2150"/>
    </row>
    <row r="2151" spans="3:13" ht="12.75" customHeight="1">
      <c r="C2151"/>
      <c r="M2151"/>
    </row>
    <row r="2152" spans="3:13" ht="12.75" customHeight="1">
      <c r="C2152"/>
      <c r="M2152"/>
    </row>
    <row r="2153" spans="3:13" ht="12.75" customHeight="1">
      <c r="C2153"/>
      <c r="M2153"/>
    </row>
    <row r="2154" spans="3:13" ht="12.75" customHeight="1">
      <c r="C2154"/>
      <c r="M2154"/>
    </row>
    <row r="2155" spans="3:13" ht="12.75" customHeight="1">
      <c r="C2155"/>
      <c r="M2155"/>
    </row>
    <row r="2156" spans="3:13" ht="12.75" customHeight="1">
      <c r="C2156"/>
      <c r="M2156"/>
    </row>
    <row r="2157" spans="3:13" ht="12.75" customHeight="1">
      <c r="C2157"/>
      <c r="M2157"/>
    </row>
    <row r="2158" spans="3:13" ht="12.75" customHeight="1">
      <c r="C2158"/>
      <c r="M2158"/>
    </row>
    <row r="2159" spans="3:13" ht="12.75" customHeight="1">
      <c r="C2159"/>
      <c r="M2159"/>
    </row>
    <row r="2160" spans="3:13" ht="12.75" customHeight="1">
      <c r="C2160"/>
      <c r="M2160"/>
    </row>
    <row r="2161" spans="3:13" ht="12.75" customHeight="1">
      <c r="C2161"/>
      <c r="M2161"/>
    </row>
    <row r="2162" spans="3:13" ht="12.75" customHeight="1">
      <c r="C2162"/>
      <c r="M2162"/>
    </row>
    <row r="2163" spans="3:13" ht="12.75" customHeight="1">
      <c r="C2163"/>
      <c r="M2163"/>
    </row>
    <row r="2164" spans="3:13" ht="12.75" customHeight="1">
      <c r="C2164"/>
      <c r="M2164"/>
    </row>
    <row r="2165" spans="3:13" ht="12.75" customHeight="1">
      <c r="C2165"/>
      <c r="M2165"/>
    </row>
    <row r="2166" spans="3:13" ht="12.75" customHeight="1">
      <c r="C2166"/>
      <c r="M2166"/>
    </row>
    <row r="2167" spans="3:13" ht="12.75" customHeight="1">
      <c r="C2167"/>
      <c r="M2167"/>
    </row>
    <row r="2168" spans="3:13" ht="12.75" customHeight="1">
      <c r="C2168"/>
      <c r="M2168"/>
    </row>
    <row r="2169" spans="3:13" ht="12.75" customHeight="1">
      <c r="C2169"/>
      <c r="M2169"/>
    </row>
    <row r="2170" spans="3:13" ht="12.75" customHeight="1">
      <c r="C2170"/>
      <c r="M2170"/>
    </row>
    <row r="2171" spans="3:13" ht="12.75" customHeight="1">
      <c r="C2171"/>
      <c r="M2171"/>
    </row>
    <row r="2172" spans="3:13" ht="12.75" customHeight="1">
      <c r="C2172"/>
      <c r="M2172"/>
    </row>
    <row r="2173" spans="3:13" ht="12.75" customHeight="1">
      <c r="C2173"/>
      <c r="M2173"/>
    </row>
    <row r="2174" spans="3:13" ht="12.75" customHeight="1">
      <c r="C2174"/>
      <c r="M2174"/>
    </row>
    <row r="2175" spans="3:13" ht="12.75" customHeight="1">
      <c r="C2175"/>
      <c r="M2175"/>
    </row>
    <row r="2176" spans="3:13" ht="12.75" customHeight="1">
      <c r="C2176"/>
      <c r="M2176"/>
    </row>
    <row r="2177" spans="3:13" ht="12.75" customHeight="1">
      <c r="C2177"/>
      <c r="M2177"/>
    </row>
    <row r="2178" spans="3:13" ht="12.75" customHeight="1">
      <c r="C2178"/>
      <c r="M2178"/>
    </row>
    <row r="2179" spans="3:13" ht="12.75" customHeight="1">
      <c r="C2179"/>
      <c r="M2179"/>
    </row>
    <row r="2180" spans="3:13" ht="12.75" customHeight="1">
      <c r="C2180"/>
      <c r="M2180"/>
    </row>
    <row r="2181" spans="3:13" ht="12.75" customHeight="1">
      <c r="C2181"/>
      <c r="M2181"/>
    </row>
    <row r="2182" spans="3:13" ht="12.75" customHeight="1">
      <c r="C2182"/>
      <c r="M2182"/>
    </row>
    <row r="2183" spans="3:13" ht="12.75" customHeight="1">
      <c r="C2183"/>
      <c r="M2183"/>
    </row>
    <row r="2184" spans="3:13" ht="12.75" customHeight="1">
      <c r="C2184"/>
      <c r="M2184"/>
    </row>
    <row r="2185" spans="3:13" ht="12.75" customHeight="1">
      <c r="C2185"/>
      <c r="M2185"/>
    </row>
    <row r="2186" spans="3:13" ht="12.75" customHeight="1">
      <c r="C2186"/>
      <c r="M2186"/>
    </row>
    <row r="2187" spans="3:13" ht="12.75" customHeight="1">
      <c r="C2187"/>
      <c r="M2187"/>
    </row>
    <row r="2188" spans="3:13" ht="12.75" customHeight="1">
      <c r="C2188"/>
      <c r="M2188"/>
    </row>
    <row r="2189" spans="3:13" ht="12.75" customHeight="1">
      <c r="C2189"/>
      <c r="M2189"/>
    </row>
    <row r="2190" spans="3:13" ht="12.75" customHeight="1">
      <c r="C2190"/>
      <c r="M2190"/>
    </row>
    <row r="2191" spans="3:13" ht="12.75" customHeight="1">
      <c r="C2191"/>
      <c r="M2191"/>
    </row>
    <row r="2192" spans="3:13" ht="12.75" customHeight="1">
      <c r="C2192"/>
      <c r="M2192"/>
    </row>
    <row r="2193" spans="3:13" ht="12.75" customHeight="1">
      <c r="C2193"/>
      <c r="M2193"/>
    </row>
    <row r="2194" spans="3:13" ht="12.75" customHeight="1">
      <c r="C2194"/>
      <c r="M2194"/>
    </row>
    <row r="2195" spans="3:13" ht="12.75" customHeight="1">
      <c r="C2195"/>
      <c r="M2195"/>
    </row>
    <row r="2196" spans="3:13" ht="12.75" customHeight="1">
      <c r="C2196"/>
      <c r="M2196"/>
    </row>
    <row r="2197" spans="3:13" ht="12.75" customHeight="1">
      <c r="C2197"/>
      <c r="M2197"/>
    </row>
    <row r="2198" spans="3:13" ht="12.75" customHeight="1">
      <c r="C2198"/>
      <c r="M2198"/>
    </row>
    <row r="2199" spans="3:13" ht="12.75" customHeight="1">
      <c r="C2199"/>
      <c r="M2199"/>
    </row>
    <row r="2200" spans="3:13" ht="12.75" customHeight="1">
      <c r="C2200"/>
      <c r="M2200"/>
    </row>
    <row r="2201" spans="3:13" ht="12.75" customHeight="1">
      <c r="C2201"/>
      <c r="M2201"/>
    </row>
    <row r="2202" spans="3:13" ht="12.75" customHeight="1">
      <c r="C2202"/>
      <c r="M2202"/>
    </row>
    <row r="2203" spans="3:13" ht="12.75" customHeight="1">
      <c r="C2203"/>
      <c r="M2203"/>
    </row>
    <row r="2204" spans="3:13" ht="12.75" customHeight="1">
      <c r="C2204"/>
      <c r="M2204"/>
    </row>
    <row r="2205" spans="3:13" ht="12.75" customHeight="1">
      <c r="C2205"/>
      <c r="M2205"/>
    </row>
    <row r="2206" spans="3:13" ht="12.75" customHeight="1">
      <c r="C2206"/>
      <c r="M2206"/>
    </row>
    <row r="2207" spans="3:13" ht="12.75" customHeight="1">
      <c r="C2207"/>
      <c r="M2207"/>
    </row>
    <row r="2208" spans="3:13" ht="12.75" customHeight="1">
      <c r="C2208"/>
      <c r="M2208"/>
    </row>
    <row r="2209" spans="3:13" ht="12.75" customHeight="1">
      <c r="C2209"/>
      <c r="M2209"/>
    </row>
    <row r="2210" spans="3:13" ht="12.75" customHeight="1">
      <c r="C2210"/>
      <c r="M2210"/>
    </row>
    <row r="2211" spans="3:13" ht="12.75" customHeight="1">
      <c r="C2211"/>
      <c r="M2211"/>
    </row>
    <row r="2212" spans="3:13" ht="12.75" customHeight="1">
      <c r="C2212"/>
      <c r="M2212"/>
    </row>
    <row r="2213" spans="3:13" ht="12.75" customHeight="1">
      <c r="C2213"/>
      <c r="M2213"/>
    </row>
    <row r="2214" spans="3:13" ht="12.75" customHeight="1">
      <c r="C2214"/>
      <c r="M2214"/>
    </row>
    <row r="2215" spans="3:13" ht="12.75" customHeight="1">
      <c r="C2215"/>
      <c r="M2215"/>
    </row>
    <row r="2216" spans="3:13" ht="12.75" customHeight="1">
      <c r="C2216"/>
      <c r="M2216"/>
    </row>
    <row r="2217" spans="3:13" ht="12.75" customHeight="1">
      <c r="C2217"/>
      <c r="M2217"/>
    </row>
    <row r="2218" spans="3:13" ht="12.75" customHeight="1">
      <c r="C2218"/>
      <c r="M2218"/>
    </row>
    <row r="2219" spans="3:13" ht="12.75" customHeight="1">
      <c r="C2219"/>
      <c r="M2219"/>
    </row>
    <row r="2220" spans="3:13" ht="12.75" customHeight="1">
      <c r="C2220"/>
      <c r="M2220"/>
    </row>
    <row r="2221" spans="3:13" ht="12.75" customHeight="1">
      <c r="C2221"/>
      <c r="M2221"/>
    </row>
    <row r="2222" spans="3:13" ht="12.75" customHeight="1">
      <c r="C2222"/>
      <c r="M2222"/>
    </row>
    <row r="2223" spans="3:13" ht="12.75" customHeight="1">
      <c r="C2223"/>
      <c r="M2223"/>
    </row>
    <row r="2224" spans="3:13" ht="12.75" customHeight="1">
      <c r="C2224"/>
      <c r="M2224"/>
    </row>
    <row r="2225" spans="3:13" ht="12.75" customHeight="1">
      <c r="C2225"/>
      <c r="M2225"/>
    </row>
    <row r="2226" spans="3:13" ht="12.75" customHeight="1">
      <c r="C2226"/>
      <c r="M2226"/>
    </row>
    <row r="2227" spans="3:13" ht="12.75" customHeight="1">
      <c r="C2227"/>
      <c r="M2227"/>
    </row>
    <row r="2228" spans="3:13" ht="12.75" customHeight="1">
      <c r="C2228"/>
      <c r="M2228"/>
    </row>
    <row r="2229" spans="3:13" ht="12.75" customHeight="1">
      <c r="C2229"/>
      <c r="M2229"/>
    </row>
    <row r="2230" spans="3:13" ht="12.75" customHeight="1">
      <c r="C2230"/>
      <c r="M2230"/>
    </row>
    <row r="2231" spans="3:13" ht="12.75" customHeight="1">
      <c r="C2231"/>
      <c r="M2231"/>
    </row>
    <row r="2232" spans="3:13" ht="12.75" customHeight="1">
      <c r="C2232"/>
      <c r="M2232"/>
    </row>
    <row r="2233" spans="3:13" ht="12.75" customHeight="1">
      <c r="C2233"/>
      <c r="M2233"/>
    </row>
    <row r="2234" spans="3:13" ht="12.75" customHeight="1">
      <c r="C2234"/>
      <c r="M2234"/>
    </row>
    <row r="2235" spans="3:13" ht="12.75" customHeight="1">
      <c r="C2235"/>
      <c r="M2235"/>
    </row>
    <row r="2236" spans="3:13" ht="12.75" customHeight="1">
      <c r="C2236"/>
      <c r="M2236"/>
    </row>
    <row r="2237" spans="3:13" ht="12.75" customHeight="1">
      <c r="C2237"/>
      <c r="M2237"/>
    </row>
    <row r="2238" spans="3:13" ht="12.75" customHeight="1">
      <c r="C2238"/>
      <c r="M2238"/>
    </row>
    <row r="2239" spans="3:13" ht="12.75" customHeight="1">
      <c r="C2239"/>
      <c r="M2239"/>
    </row>
    <row r="2240" spans="3:13" ht="12.75" customHeight="1">
      <c r="C2240"/>
      <c r="M2240"/>
    </row>
    <row r="2241" spans="3:13" ht="12.75" customHeight="1">
      <c r="C2241"/>
      <c r="M2241"/>
    </row>
    <row r="2242" spans="3:13" ht="12.75" customHeight="1">
      <c r="C2242"/>
      <c r="M2242"/>
    </row>
    <row r="2243" spans="3:13" ht="12.75" customHeight="1">
      <c r="C2243"/>
      <c r="M2243"/>
    </row>
    <row r="2244" spans="3:13" ht="12.75" customHeight="1">
      <c r="C2244"/>
      <c r="M2244"/>
    </row>
    <row r="2245" spans="3:13" ht="12.75" customHeight="1">
      <c r="C2245"/>
      <c r="M2245"/>
    </row>
    <row r="2246" spans="3:13" ht="12.75" customHeight="1">
      <c r="C2246"/>
      <c r="M2246"/>
    </row>
    <row r="2247" spans="3:13" ht="12.75" customHeight="1">
      <c r="C2247"/>
      <c r="M2247"/>
    </row>
    <row r="2248" spans="3:13" ht="12.75" customHeight="1">
      <c r="C2248"/>
      <c r="M2248"/>
    </row>
    <row r="2249" spans="3:13" ht="12.75" customHeight="1">
      <c r="C2249"/>
      <c r="M2249"/>
    </row>
    <row r="2250" spans="3:13" ht="12.75" customHeight="1">
      <c r="C2250"/>
      <c r="M2250"/>
    </row>
    <row r="2251" spans="3:13" ht="12.75" customHeight="1">
      <c r="C2251"/>
      <c r="M2251"/>
    </row>
    <row r="2252" spans="3:13" ht="12.75" customHeight="1">
      <c r="C2252"/>
      <c r="M2252"/>
    </row>
    <row r="2253" spans="3:13" ht="12.75" customHeight="1">
      <c r="C2253"/>
      <c r="M2253"/>
    </row>
    <row r="2254" spans="3:13" ht="12.75" customHeight="1">
      <c r="C2254"/>
      <c r="M2254"/>
    </row>
    <row r="2255" spans="3:13" ht="12.75" customHeight="1">
      <c r="C2255"/>
      <c r="M2255"/>
    </row>
    <row r="2256" spans="3:13" ht="12.75" customHeight="1">
      <c r="C2256"/>
      <c r="M2256"/>
    </row>
    <row r="2257" spans="3:13" ht="12.75" customHeight="1">
      <c r="C2257"/>
      <c r="M2257"/>
    </row>
    <row r="2258" spans="3:13" ht="12.75" customHeight="1">
      <c r="C2258"/>
      <c r="M2258"/>
    </row>
    <row r="2259" spans="3:13" ht="12.75" customHeight="1">
      <c r="C2259"/>
      <c r="M2259"/>
    </row>
    <row r="2260" spans="3:13" ht="12.75" customHeight="1">
      <c r="C2260"/>
      <c r="M2260"/>
    </row>
    <row r="2261" spans="3:13" ht="12.75" customHeight="1">
      <c r="C2261"/>
      <c r="M2261"/>
    </row>
    <row r="2262" spans="3:13" ht="12.75" customHeight="1">
      <c r="C2262"/>
      <c r="M2262"/>
    </row>
    <row r="2263" spans="3:13" ht="12.75" customHeight="1">
      <c r="C2263"/>
      <c r="M2263"/>
    </row>
    <row r="2264" spans="3:13" ht="12.75" customHeight="1">
      <c r="C2264"/>
      <c r="M2264"/>
    </row>
    <row r="2265" spans="3:13" ht="12.75" customHeight="1">
      <c r="C2265"/>
      <c r="M2265"/>
    </row>
    <row r="2266" spans="3:13" ht="12.75" customHeight="1">
      <c r="C2266"/>
      <c r="M2266"/>
    </row>
    <row r="2267" spans="3:13" ht="12.75" customHeight="1">
      <c r="C2267"/>
      <c r="M2267"/>
    </row>
    <row r="2268" spans="3:13" ht="12.75" customHeight="1">
      <c r="C2268"/>
      <c r="M2268"/>
    </row>
    <row r="2269" spans="3:13" ht="12.75" customHeight="1">
      <c r="C2269"/>
      <c r="M2269"/>
    </row>
    <row r="2270" spans="3:13" ht="12.75" customHeight="1">
      <c r="C2270"/>
      <c r="M2270"/>
    </row>
    <row r="2271" spans="3:13" ht="12.75" customHeight="1">
      <c r="C2271"/>
      <c r="M2271"/>
    </row>
    <row r="2272" spans="3:13" ht="12.75" customHeight="1">
      <c r="C2272"/>
      <c r="M2272"/>
    </row>
    <row r="2273" spans="3:13" ht="12.75" customHeight="1">
      <c r="C2273"/>
      <c r="M2273"/>
    </row>
    <row r="2274" spans="3:13" ht="12.75" customHeight="1">
      <c r="C2274"/>
      <c r="M2274"/>
    </row>
    <row r="2275" spans="3:13" ht="12.75" customHeight="1">
      <c r="C2275"/>
      <c r="M2275"/>
    </row>
    <row r="2276" spans="3:13" ht="12.75" customHeight="1">
      <c r="C2276"/>
      <c r="M2276"/>
    </row>
    <row r="2277" spans="3:13" ht="12.75" customHeight="1">
      <c r="C2277"/>
      <c r="M2277"/>
    </row>
    <row r="2278" spans="3:13" ht="12.75" customHeight="1">
      <c r="C2278"/>
      <c r="M2278"/>
    </row>
    <row r="2279" spans="3:13" ht="12.75" customHeight="1">
      <c r="C2279"/>
      <c r="M2279"/>
    </row>
    <row r="2280" spans="3:13" ht="12.75" customHeight="1">
      <c r="C2280"/>
      <c r="M2280"/>
    </row>
    <row r="2281" spans="3:13" ht="12.75" customHeight="1">
      <c r="C2281"/>
      <c r="M2281"/>
    </row>
    <row r="2282" spans="3:13" ht="12.75" customHeight="1">
      <c r="C2282"/>
      <c r="M2282"/>
    </row>
    <row r="2283" spans="3:13" ht="12.75" customHeight="1">
      <c r="C2283"/>
      <c r="M2283"/>
    </row>
    <row r="2284" spans="3:13" ht="12.75" customHeight="1">
      <c r="C2284"/>
      <c r="M2284"/>
    </row>
    <row r="2285" spans="3:13" ht="12.75" customHeight="1">
      <c r="C2285"/>
      <c r="M2285"/>
    </row>
    <row r="2286" spans="3:13" ht="12.75" customHeight="1">
      <c r="C2286"/>
      <c r="M2286"/>
    </row>
    <row r="2287" spans="3:13" ht="12.75" customHeight="1">
      <c r="C2287"/>
      <c r="M2287"/>
    </row>
    <row r="2288" spans="3:13" ht="12.75" customHeight="1">
      <c r="C2288"/>
      <c r="M2288"/>
    </row>
    <row r="2289" spans="3:13" ht="12.75" customHeight="1">
      <c r="C2289"/>
      <c r="M2289"/>
    </row>
    <row r="2290" spans="3:13" ht="12.75" customHeight="1">
      <c r="C2290"/>
      <c r="M2290"/>
    </row>
    <row r="2291" spans="3:13" ht="12.75" customHeight="1">
      <c r="C2291"/>
      <c r="M2291"/>
    </row>
    <row r="2292" spans="3:13" ht="12.75" customHeight="1">
      <c r="C2292"/>
      <c r="M2292"/>
    </row>
    <row r="2293" spans="3:13" ht="12.75" customHeight="1">
      <c r="C2293"/>
      <c r="M2293"/>
    </row>
    <row r="2294" spans="3:13" ht="12.75" customHeight="1">
      <c r="C2294"/>
      <c r="M2294"/>
    </row>
    <row r="2295" spans="3:13" ht="12.75" customHeight="1">
      <c r="C2295"/>
      <c r="M2295"/>
    </row>
    <row r="2296" spans="3:13" ht="12.75" customHeight="1">
      <c r="C2296"/>
      <c r="M2296"/>
    </row>
    <row r="2297" spans="3:13" ht="12.75" customHeight="1">
      <c r="C2297"/>
      <c r="M2297"/>
    </row>
    <row r="2298" spans="3:13" ht="12.75" customHeight="1">
      <c r="C2298"/>
      <c r="M2298"/>
    </row>
    <row r="2299" spans="3:13" ht="12.75" customHeight="1">
      <c r="C2299"/>
      <c r="M2299"/>
    </row>
    <row r="2300" spans="3:13" ht="12.75" customHeight="1">
      <c r="C2300"/>
      <c r="M2300"/>
    </row>
    <row r="2301" spans="3:13" ht="12.75" customHeight="1">
      <c r="C2301"/>
      <c r="M2301"/>
    </row>
    <row r="2302" spans="3:13" ht="12.75" customHeight="1">
      <c r="C2302"/>
      <c r="M2302"/>
    </row>
    <row r="2303" spans="3:13" ht="12.75" customHeight="1">
      <c r="C2303"/>
      <c r="M2303"/>
    </row>
    <row r="2304" spans="3:13" ht="12.75" customHeight="1">
      <c r="C2304"/>
      <c r="M2304"/>
    </row>
    <row r="2305" spans="3:13" ht="12.75" customHeight="1">
      <c r="C2305"/>
      <c r="M2305"/>
    </row>
    <row r="2306" spans="3:13" ht="12.75" customHeight="1">
      <c r="C2306"/>
      <c r="M2306"/>
    </row>
    <row r="2307" spans="3:13" ht="12.75" customHeight="1">
      <c r="C2307"/>
      <c r="M2307"/>
    </row>
    <row r="2308" spans="3:13" ht="12.75" customHeight="1">
      <c r="C2308"/>
      <c r="M2308"/>
    </row>
    <row r="2309" spans="3:13" ht="12.75" customHeight="1">
      <c r="C2309"/>
      <c r="M2309"/>
    </row>
    <row r="2310" spans="3:13" ht="12.75" customHeight="1">
      <c r="C2310"/>
      <c r="M2310"/>
    </row>
    <row r="2311" spans="3:13" ht="12.75" customHeight="1">
      <c r="C2311"/>
      <c r="M2311"/>
    </row>
    <row r="2312" spans="3:13" ht="12.75" customHeight="1">
      <c r="C2312"/>
      <c r="M2312"/>
    </row>
    <row r="2313" spans="3:13" ht="12.75" customHeight="1">
      <c r="C2313"/>
      <c r="M2313"/>
    </row>
    <row r="2314" spans="3:13" ht="12.75" customHeight="1">
      <c r="C2314"/>
      <c r="M2314"/>
    </row>
    <row r="2315" spans="3:13" ht="12.75" customHeight="1">
      <c r="C2315"/>
      <c r="M2315"/>
    </row>
    <row r="2316" spans="3:13" ht="12.75" customHeight="1">
      <c r="C2316"/>
      <c r="M2316"/>
    </row>
    <row r="2317" spans="3:13" ht="12.75" customHeight="1">
      <c r="C2317"/>
      <c r="M2317"/>
    </row>
    <row r="2318" spans="3:13" ht="12.75" customHeight="1">
      <c r="C2318"/>
      <c r="M2318"/>
    </row>
    <row r="2319" spans="3:13" ht="12.75" customHeight="1">
      <c r="C2319"/>
      <c r="M2319"/>
    </row>
    <row r="2320" spans="3:13" ht="12.75" customHeight="1">
      <c r="C2320"/>
      <c r="M2320"/>
    </row>
    <row r="2321" spans="3:13" ht="12.75" customHeight="1">
      <c r="C2321"/>
      <c r="M2321"/>
    </row>
    <row r="2322" spans="3:13" ht="12.75" customHeight="1">
      <c r="C2322"/>
      <c r="M2322"/>
    </row>
    <row r="2323" spans="3:13" ht="12.75" customHeight="1">
      <c r="C2323"/>
      <c r="M2323"/>
    </row>
    <row r="2324" spans="3:13" ht="12.75" customHeight="1">
      <c r="C2324"/>
      <c r="M2324"/>
    </row>
    <row r="2325" spans="3:13" ht="12.75" customHeight="1">
      <c r="C2325"/>
      <c r="M2325"/>
    </row>
    <row r="2326" spans="3:13" ht="12.75" customHeight="1">
      <c r="C2326"/>
      <c r="M2326"/>
    </row>
    <row r="2327" spans="3:13" ht="12.75" customHeight="1">
      <c r="C2327"/>
      <c r="M2327"/>
    </row>
    <row r="2328" spans="3:13" ht="12.75" customHeight="1">
      <c r="C2328"/>
      <c r="M2328"/>
    </row>
    <row r="2329" spans="3:13" ht="12.75" customHeight="1">
      <c r="C2329"/>
      <c r="M2329"/>
    </row>
    <row r="2330" spans="3:13" ht="12.75" customHeight="1">
      <c r="C2330"/>
      <c r="M2330"/>
    </row>
    <row r="2331" spans="3:13" ht="12.75" customHeight="1">
      <c r="C2331"/>
      <c r="M2331"/>
    </row>
    <row r="2332" spans="3:13" ht="12.75" customHeight="1">
      <c r="C2332"/>
      <c r="M2332"/>
    </row>
    <row r="2333" spans="3:13" ht="12.75" customHeight="1">
      <c r="C2333"/>
      <c r="M2333"/>
    </row>
    <row r="2334" spans="3:13" ht="12.75" customHeight="1">
      <c r="C2334"/>
      <c r="M2334"/>
    </row>
    <row r="2335" spans="3:13" ht="12.75" customHeight="1">
      <c r="C2335"/>
      <c r="M2335"/>
    </row>
    <row r="2336" spans="3:13" ht="12.75" customHeight="1">
      <c r="C2336"/>
      <c r="M2336"/>
    </row>
    <row r="2337" spans="3:13" ht="12.75" customHeight="1">
      <c r="C2337"/>
      <c r="M2337"/>
    </row>
    <row r="2338" spans="3:13" ht="12.75" customHeight="1">
      <c r="C2338"/>
      <c r="M2338"/>
    </row>
    <row r="2339" spans="3:13" ht="12.75" customHeight="1">
      <c r="C2339"/>
      <c r="M2339"/>
    </row>
    <row r="2340" spans="3:13" ht="12.75" customHeight="1">
      <c r="C2340"/>
      <c r="M2340"/>
    </row>
    <row r="2341" spans="3:13" ht="12.75" customHeight="1">
      <c r="C2341"/>
      <c r="M2341"/>
    </row>
    <row r="2342" spans="3:13" ht="12.75" customHeight="1">
      <c r="C2342"/>
      <c r="M2342"/>
    </row>
    <row r="2343" spans="3:13" ht="12.75" customHeight="1">
      <c r="C2343"/>
      <c r="M2343"/>
    </row>
    <row r="2344" spans="3:13" ht="12.75" customHeight="1">
      <c r="C2344"/>
      <c r="M2344"/>
    </row>
    <row r="2345" spans="3:13" ht="12.75" customHeight="1">
      <c r="C2345"/>
      <c r="M2345"/>
    </row>
    <row r="2346" spans="3:13" ht="12.75" customHeight="1">
      <c r="C2346"/>
      <c r="M2346"/>
    </row>
    <row r="2347" spans="3:13" ht="12.75" customHeight="1">
      <c r="C2347"/>
      <c r="M2347"/>
    </row>
    <row r="2348" spans="3:13" ht="12.75" customHeight="1">
      <c r="C2348"/>
      <c r="M2348"/>
    </row>
    <row r="2349" spans="3:13" ht="12.75" customHeight="1">
      <c r="C2349"/>
      <c r="M2349"/>
    </row>
    <row r="2350" spans="3:13" ht="12.75" customHeight="1">
      <c r="C2350"/>
      <c r="M2350"/>
    </row>
    <row r="2351" spans="3:13" ht="12.75" customHeight="1">
      <c r="C2351"/>
      <c r="M2351"/>
    </row>
    <row r="2352" spans="3:13" ht="12.75" customHeight="1">
      <c r="C2352"/>
      <c r="M2352"/>
    </row>
    <row r="2353" spans="3:13" ht="12.75" customHeight="1">
      <c r="C2353"/>
      <c r="M2353"/>
    </row>
    <row r="2354" spans="3:13" ht="12.75" customHeight="1">
      <c r="C2354"/>
      <c r="M2354"/>
    </row>
    <row r="2355" spans="3:13" ht="12.75" customHeight="1">
      <c r="C2355"/>
      <c r="M2355"/>
    </row>
    <row r="2356" spans="3:13" ht="12.75" customHeight="1">
      <c r="C2356"/>
      <c r="M2356"/>
    </row>
    <row r="2357" spans="3:13" ht="12.75" customHeight="1">
      <c r="C2357"/>
      <c r="M2357"/>
    </row>
    <row r="2358" spans="3:13" ht="12.75" customHeight="1">
      <c r="C2358"/>
      <c r="M2358"/>
    </row>
    <row r="2359" spans="3:13" ht="12.75" customHeight="1">
      <c r="C2359"/>
      <c r="M2359"/>
    </row>
    <row r="2360" spans="3:13" ht="12.75" customHeight="1">
      <c r="C2360"/>
      <c r="M2360"/>
    </row>
    <row r="2361" spans="3:13" ht="12.75" customHeight="1">
      <c r="C2361"/>
      <c r="M2361"/>
    </row>
    <row r="2362" spans="3:13" ht="12.75" customHeight="1">
      <c r="C2362"/>
      <c r="M2362"/>
    </row>
    <row r="2363" spans="3:13" ht="12.75" customHeight="1">
      <c r="C2363"/>
      <c r="M2363"/>
    </row>
    <row r="2364" spans="3:13" ht="12.75" customHeight="1">
      <c r="C2364"/>
      <c r="M2364"/>
    </row>
    <row r="2365" spans="3:13" ht="12.75" customHeight="1">
      <c r="C2365"/>
      <c r="M2365"/>
    </row>
    <row r="2366" spans="3:13" ht="12.75" customHeight="1">
      <c r="C2366"/>
      <c r="M2366"/>
    </row>
    <row r="2367" spans="3:13" ht="12.75" customHeight="1">
      <c r="C2367"/>
      <c r="M2367"/>
    </row>
    <row r="2368" spans="3:13" ht="12.75" customHeight="1">
      <c r="C2368"/>
      <c r="M2368"/>
    </row>
    <row r="2369" spans="3:13" ht="12.75" customHeight="1">
      <c r="C2369"/>
      <c r="M2369"/>
    </row>
    <row r="2370" spans="3:13" ht="12.75" customHeight="1">
      <c r="C2370"/>
      <c r="M2370"/>
    </row>
    <row r="2371" spans="3:13" ht="12.75" customHeight="1">
      <c r="C2371"/>
      <c r="M2371"/>
    </row>
    <row r="2372" spans="3:13" ht="12.75" customHeight="1">
      <c r="C2372"/>
      <c r="M2372"/>
    </row>
    <row r="2373" spans="3:13" ht="12.75" customHeight="1">
      <c r="C2373"/>
      <c r="M2373"/>
    </row>
    <row r="2374" spans="3:13" ht="12.75" customHeight="1">
      <c r="C2374"/>
      <c r="M2374"/>
    </row>
    <row r="2375" spans="3:13" ht="12.75" customHeight="1">
      <c r="C2375"/>
      <c r="M2375"/>
    </row>
    <row r="2376" spans="3:13" ht="12.75" customHeight="1">
      <c r="C2376"/>
      <c r="M2376"/>
    </row>
    <row r="2377" spans="3:13" ht="12.75" customHeight="1">
      <c r="C2377"/>
      <c r="M2377"/>
    </row>
    <row r="2378" spans="3:13" ht="12.75" customHeight="1">
      <c r="C2378"/>
      <c r="M2378"/>
    </row>
    <row r="2379" spans="3:13" ht="12.75" customHeight="1">
      <c r="C2379"/>
      <c r="M2379"/>
    </row>
    <row r="2380" spans="3:13" ht="12.75" customHeight="1">
      <c r="C2380"/>
      <c r="M2380"/>
    </row>
    <row r="2381" spans="3:13" ht="12.75" customHeight="1">
      <c r="C2381"/>
      <c r="M2381"/>
    </row>
    <row r="2382" spans="3:13" ht="12.75" customHeight="1">
      <c r="C2382"/>
      <c r="M2382"/>
    </row>
    <row r="2383" spans="3:13" ht="12.75" customHeight="1">
      <c r="C2383"/>
      <c r="M2383"/>
    </row>
    <row r="2384" spans="3:13" ht="12.75" customHeight="1">
      <c r="C2384"/>
      <c r="M2384"/>
    </row>
    <row r="2385" spans="3:13" ht="12.75" customHeight="1">
      <c r="C2385"/>
      <c r="M2385"/>
    </row>
    <row r="2386" spans="3:13" ht="12.75" customHeight="1">
      <c r="C2386"/>
      <c r="M2386"/>
    </row>
    <row r="2387" spans="3:13" ht="12.75" customHeight="1">
      <c r="C2387"/>
      <c r="M2387"/>
    </row>
    <row r="2388" spans="3:13" ht="12.75" customHeight="1">
      <c r="C2388"/>
      <c r="M2388"/>
    </row>
    <row r="2389" spans="3:13" ht="12.75" customHeight="1">
      <c r="C2389"/>
      <c r="M2389"/>
    </row>
    <row r="2390" spans="3:13" ht="12.75" customHeight="1">
      <c r="C2390"/>
      <c r="M2390"/>
    </row>
    <row r="2391" spans="3:13" ht="12.75" customHeight="1">
      <c r="C2391"/>
      <c r="M2391"/>
    </row>
    <row r="2392" spans="3:13" ht="12.75" customHeight="1">
      <c r="C2392"/>
      <c r="M2392"/>
    </row>
    <row r="2393" spans="3:13" ht="12.75" customHeight="1">
      <c r="C2393"/>
      <c r="M2393"/>
    </row>
    <row r="2394" spans="3:13" ht="12.75" customHeight="1">
      <c r="C2394"/>
      <c r="M2394"/>
    </row>
    <row r="2395" spans="3:13" ht="12.75" customHeight="1">
      <c r="C2395"/>
      <c r="M2395"/>
    </row>
    <row r="2396" spans="3:13" ht="12.75" customHeight="1">
      <c r="C2396"/>
      <c r="M2396"/>
    </row>
    <row r="2397" spans="3:13" ht="12.75" customHeight="1">
      <c r="C2397"/>
      <c r="M2397"/>
    </row>
    <row r="2398" spans="3:13" ht="12.75" customHeight="1">
      <c r="C2398"/>
      <c r="M2398"/>
    </row>
    <row r="2399" spans="3:13" ht="12.75" customHeight="1">
      <c r="C2399"/>
      <c r="M2399"/>
    </row>
    <row r="2400" spans="3:13" ht="12.75" customHeight="1">
      <c r="C2400"/>
      <c r="M2400"/>
    </row>
    <row r="2401" spans="3:13" ht="12.75" customHeight="1">
      <c r="C2401"/>
      <c r="M2401"/>
    </row>
    <row r="2402" spans="3:13" ht="12.75" customHeight="1">
      <c r="C2402"/>
      <c r="M2402"/>
    </row>
    <row r="2403" spans="3:13" ht="12.75" customHeight="1">
      <c r="C2403"/>
      <c r="M2403"/>
    </row>
    <row r="2404" spans="3:13" ht="12.75" customHeight="1">
      <c r="C2404"/>
      <c r="M2404"/>
    </row>
    <row r="2405" spans="3:13" ht="12.75" customHeight="1">
      <c r="C2405"/>
      <c r="M2405"/>
    </row>
    <row r="2406" spans="3:13" ht="12.75" customHeight="1">
      <c r="C2406"/>
      <c r="M2406"/>
    </row>
    <row r="2407" spans="3:13" ht="12.75" customHeight="1">
      <c r="C2407"/>
      <c r="M2407"/>
    </row>
    <row r="2408" spans="3:13" ht="12.75" customHeight="1">
      <c r="C2408"/>
      <c r="M2408"/>
    </row>
    <row r="2409" spans="3:13" ht="12.75" customHeight="1">
      <c r="C2409"/>
      <c r="M2409"/>
    </row>
    <row r="2410" spans="3:13" ht="12.75" customHeight="1">
      <c r="C2410"/>
      <c r="M2410"/>
    </row>
    <row r="2411" spans="3:13" ht="12.75" customHeight="1">
      <c r="C2411"/>
      <c r="M2411"/>
    </row>
    <row r="2412" spans="3:13" ht="12.75" customHeight="1">
      <c r="C2412"/>
      <c r="M2412"/>
    </row>
    <row r="2413" spans="3:13" ht="12.75" customHeight="1">
      <c r="C2413"/>
      <c r="M2413"/>
    </row>
    <row r="2414" spans="3:13" ht="12.75" customHeight="1">
      <c r="C2414"/>
      <c r="M2414"/>
    </row>
    <row r="2415" spans="3:13" ht="12.75" customHeight="1">
      <c r="C2415"/>
      <c r="M2415"/>
    </row>
    <row r="2416" spans="3:13" ht="12.75" customHeight="1">
      <c r="C2416"/>
      <c r="M2416"/>
    </row>
    <row r="2417" spans="3:13" ht="12.75" customHeight="1">
      <c r="C2417"/>
      <c r="M2417"/>
    </row>
    <row r="2418" spans="3:13" ht="12.75" customHeight="1">
      <c r="C2418"/>
      <c r="M2418"/>
    </row>
    <row r="2419" spans="3:13" ht="12.75" customHeight="1">
      <c r="C2419"/>
      <c r="M2419"/>
    </row>
    <row r="2420" spans="3:13" ht="12.75" customHeight="1">
      <c r="C2420"/>
      <c r="M2420"/>
    </row>
    <row r="2421" spans="3:13" ht="12.75" customHeight="1">
      <c r="C2421"/>
      <c r="M2421"/>
    </row>
    <row r="2422" spans="3:13" ht="12.75" customHeight="1">
      <c r="C2422"/>
      <c r="M2422"/>
    </row>
    <row r="2423" spans="3:13" ht="12.75" customHeight="1">
      <c r="C2423"/>
      <c r="M2423"/>
    </row>
    <row r="2424" spans="3:13" ht="12.75" customHeight="1">
      <c r="C2424"/>
      <c r="M2424"/>
    </row>
    <row r="2425" spans="3:13" ht="12.75" customHeight="1">
      <c r="C2425"/>
      <c r="M2425"/>
    </row>
    <row r="2426" spans="3:13" ht="12.75" customHeight="1">
      <c r="C2426"/>
      <c r="M2426"/>
    </row>
    <row r="2427" spans="3:13" ht="12.75" customHeight="1">
      <c r="C2427"/>
      <c r="M2427"/>
    </row>
    <row r="2428" spans="3:13" ht="12.75" customHeight="1">
      <c r="C2428"/>
      <c r="M2428"/>
    </row>
    <row r="2429" spans="3:13" ht="12.75" customHeight="1">
      <c r="C2429"/>
      <c r="M2429"/>
    </row>
    <row r="2430" spans="3:13" ht="12.75" customHeight="1">
      <c r="C2430"/>
      <c r="M2430"/>
    </row>
    <row r="2431" spans="3:13" ht="12.75" customHeight="1">
      <c r="C2431"/>
      <c r="M2431"/>
    </row>
    <row r="2432" spans="3:13" ht="12.75" customHeight="1">
      <c r="C2432"/>
      <c r="M2432"/>
    </row>
    <row r="2433" spans="3:13" ht="12.75" customHeight="1">
      <c r="C2433"/>
      <c r="M2433"/>
    </row>
    <row r="2434" spans="3:13" ht="12.75" customHeight="1">
      <c r="C2434"/>
      <c r="M2434"/>
    </row>
    <row r="2435" spans="3:13" ht="12.75" customHeight="1">
      <c r="C2435"/>
      <c r="M2435"/>
    </row>
    <row r="2436" spans="3:13" ht="12.75" customHeight="1">
      <c r="C2436"/>
      <c r="M2436"/>
    </row>
    <row r="2437" spans="3:13" ht="12.75" customHeight="1">
      <c r="C2437"/>
      <c r="M2437"/>
    </row>
    <row r="2438" spans="3:13" ht="12.75" customHeight="1">
      <c r="C2438"/>
      <c r="M2438"/>
    </row>
    <row r="2439" spans="3:13" ht="12.75" customHeight="1">
      <c r="C2439"/>
      <c r="M2439"/>
    </row>
    <row r="2440" spans="3:13" ht="12.75" customHeight="1">
      <c r="C2440"/>
      <c r="M2440"/>
    </row>
    <row r="2441" spans="3:13" ht="12.75" customHeight="1">
      <c r="C2441"/>
      <c r="M2441"/>
    </row>
    <row r="2442" spans="3:13" ht="12.75" customHeight="1">
      <c r="C2442"/>
      <c r="M2442"/>
    </row>
    <row r="2443" spans="3:13" ht="12.75" customHeight="1">
      <c r="C2443"/>
      <c r="M2443"/>
    </row>
    <row r="2444" spans="3:13" ht="12.75" customHeight="1">
      <c r="C2444"/>
      <c r="M2444"/>
    </row>
    <row r="2445" spans="3:13" ht="12.75" customHeight="1">
      <c r="C2445"/>
      <c r="M2445"/>
    </row>
    <row r="2446" spans="3:13" ht="12.75" customHeight="1">
      <c r="C2446"/>
      <c r="M2446"/>
    </row>
    <row r="2447" spans="3:13" ht="12.75" customHeight="1">
      <c r="C2447"/>
      <c r="M2447"/>
    </row>
    <row r="2448" spans="3:13" ht="12.75" customHeight="1">
      <c r="C2448"/>
      <c r="M2448"/>
    </row>
    <row r="2449" spans="3:13" ht="12.75" customHeight="1">
      <c r="C2449"/>
      <c r="M2449"/>
    </row>
    <row r="2450" spans="3:13" ht="12.75" customHeight="1">
      <c r="C2450"/>
      <c r="M2450"/>
    </row>
    <row r="2451" spans="3:13" ht="12.75" customHeight="1">
      <c r="C2451"/>
      <c r="M2451"/>
    </row>
    <row r="2452" spans="3:13" ht="12.75" customHeight="1">
      <c r="C2452"/>
      <c r="M2452"/>
    </row>
    <row r="2453" spans="3:13" ht="12.75" customHeight="1">
      <c r="C2453"/>
      <c r="M2453"/>
    </row>
    <row r="2454" spans="3:13" ht="12.75" customHeight="1">
      <c r="C2454"/>
      <c r="M2454"/>
    </row>
    <row r="2455" spans="3:13" ht="12.75" customHeight="1">
      <c r="C2455"/>
      <c r="M2455"/>
    </row>
    <row r="2456" spans="3:13" ht="12.75" customHeight="1">
      <c r="C2456"/>
      <c r="M2456"/>
    </row>
    <row r="2457" spans="3:13" ht="12.75" customHeight="1">
      <c r="C2457"/>
      <c r="M2457"/>
    </row>
    <row r="2458" spans="3:13" ht="12.75" customHeight="1">
      <c r="C2458"/>
      <c r="M2458"/>
    </row>
    <row r="2459" spans="3:13" ht="12.75" customHeight="1">
      <c r="C2459"/>
      <c r="M2459"/>
    </row>
    <row r="2460" spans="3:13" ht="12.75" customHeight="1">
      <c r="C2460"/>
      <c r="M2460"/>
    </row>
    <row r="2461" spans="3:13" ht="12.75" customHeight="1">
      <c r="C2461"/>
      <c r="M2461"/>
    </row>
    <row r="2462" spans="3:13" ht="12.75" customHeight="1">
      <c r="C2462"/>
      <c r="M2462"/>
    </row>
    <row r="2463" spans="3:13" ht="12.75" customHeight="1">
      <c r="C2463"/>
      <c r="M2463"/>
    </row>
    <row r="2464" spans="3:13" ht="12.75" customHeight="1">
      <c r="C2464"/>
      <c r="M2464"/>
    </row>
    <row r="2465" spans="3:13" ht="12.75" customHeight="1">
      <c r="C2465"/>
      <c r="M2465"/>
    </row>
    <row r="2466" spans="3:13" ht="12.75" customHeight="1">
      <c r="C2466"/>
      <c r="M2466"/>
    </row>
    <row r="2467" spans="3:13" ht="12.75" customHeight="1">
      <c r="C2467"/>
      <c r="M2467"/>
    </row>
    <row r="2468" spans="3:13" ht="12.75" customHeight="1">
      <c r="C2468"/>
      <c r="M2468"/>
    </row>
    <row r="2469" spans="3:13" ht="12.75" customHeight="1">
      <c r="C2469"/>
      <c r="M2469"/>
    </row>
    <row r="2470" spans="3:13" ht="12.75" customHeight="1">
      <c r="C2470"/>
      <c r="M2470"/>
    </row>
    <row r="2471" spans="3:13" ht="12.75" customHeight="1">
      <c r="C2471"/>
      <c r="M2471"/>
    </row>
    <row r="2472" spans="3:13" ht="12.75" customHeight="1">
      <c r="C2472"/>
      <c r="M2472"/>
    </row>
    <row r="2473" spans="3:13" ht="12.75" customHeight="1">
      <c r="C2473"/>
      <c r="M2473"/>
    </row>
    <row r="2474" spans="3:13" ht="12.75" customHeight="1">
      <c r="C2474"/>
      <c r="M2474"/>
    </row>
    <row r="2475" spans="3:13" ht="12.75" customHeight="1">
      <c r="C2475"/>
      <c r="M2475"/>
    </row>
    <row r="2476" spans="3:13" ht="12.75" customHeight="1">
      <c r="C2476"/>
      <c r="M2476"/>
    </row>
    <row r="2477" spans="3:13" ht="12.75" customHeight="1">
      <c r="C2477"/>
      <c r="M2477"/>
    </row>
    <row r="2478" spans="3:13" ht="12.75" customHeight="1">
      <c r="C2478"/>
      <c r="M2478"/>
    </row>
    <row r="2479" spans="3:13" ht="12.75" customHeight="1">
      <c r="C2479"/>
      <c r="M2479"/>
    </row>
    <row r="2480" spans="3:13" ht="12.75" customHeight="1">
      <c r="C2480"/>
      <c r="M2480"/>
    </row>
    <row r="2481" spans="3:13" ht="12.75" customHeight="1">
      <c r="C2481"/>
      <c r="M2481"/>
    </row>
    <row r="2482" spans="3:13" ht="12.75" customHeight="1">
      <c r="C2482"/>
      <c r="M2482"/>
    </row>
    <row r="2483" spans="3:13" ht="12.75" customHeight="1">
      <c r="C2483"/>
      <c r="M2483"/>
    </row>
    <row r="2484" spans="3:13" ht="12.75" customHeight="1">
      <c r="C2484"/>
      <c r="M2484"/>
    </row>
    <row r="2485" spans="3:13" ht="12.75" customHeight="1">
      <c r="C2485"/>
      <c r="M2485"/>
    </row>
    <row r="2486" spans="3:13" ht="12.75" customHeight="1">
      <c r="C2486"/>
      <c r="M2486"/>
    </row>
    <row r="2487" spans="3:13" ht="12.75" customHeight="1">
      <c r="C2487"/>
      <c r="M2487"/>
    </row>
    <row r="2488" spans="3:13" ht="12.75" customHeight="1">
      <c r="C2488"/>
      <c r="M2488"/>
    </row>
    <row r="2489" spans="3:13" ht="12.75" customHeight="1">
      <c r="C2489"/>
      <c r="M2489"/>
    </row>
    <row r="2490" spans="3:13" ht="12.75" customHeight="1">
      <c r="C2490"/>
      <c r="M2490"/>
    </row>
    <row r="2491" spans="3:13" ht="12.75" customHeight="1">
      <c r="C2491"/>
      <c r="M2491"/>
    </row>
    <row r="2492" spans="3:13" ht="12.75" customHeight="1">
      <c r="C2492"/>
      <c r="M2492"/>
    </row>
    <row r="2493" spans="3:13" ht="12.75" customHeight="1">
      <c r="C2493"/>
      <c r="M2493"/>
    </row>
    <row r="2494" spans="3:13" ht="12.75" customHeight="1">
      <c r="C2494"/>
      <c r="M2494"/>
    </row>
    <row r="2495" spans="3:13" ht="12.75" customHeight="1">
      <c r="C2495"/>
      <c r="M2495"/>
    </row>
    <row r="2496" spans="3:13" ht="12.75" customHeight="1">
      <c r="C2496"/>
      <c r="M2496"/>
    </row>
    <row r="2497" spans="3:13" ht="12.75" customHeight="1">
      <c r="C2497"/>
      <c r="M2497"/>
    </row>
    <row r="2498" spans="3:13" ht="12.75" customHeight="1">
      <c r="C2498"/>
      <c r="M2498"/>
    </row>
    <row r="2499" spans="3:13" ht="12.75" customHeight="1">
      <c r="C2499"/>
      <c r="M2499"/>
    </row>
    <row r="2500" spans="3:13" ht="12.75" customHeight="1">
      <c r="C2500"/>
      <c r="M2500"/>
    </row>
    <row r="2501" spans="3:13" ht="12.75" customHeight="1">
      <c r="C2501"/>
      <c r="M2501"/>
    </row>
    <row r="2502" spans="3:13" ht="12.75" customHeight="1">
      <c r="C2502"/>
      <c r="M2502"/>
    </row>
    <row r="2503" spans="3:13" ht="12.75" customHeight="1">
      <c r="C2503"/>
      <c r="M2503"/>
    </row>
    <row r="2504" spans="3:13" ht="12.75" customHeight="1">
      <c r="C2504"/>
      <c r="M2504"/>
    </row>
    <row r="2505" spans="3:13" ht="12.75" customHeight="1">
      <c r="C2505"/>
      <c r="M2505"/>
    </row>
    <row r="2506" spans="3:13" ht="12.75" customHeight="1">
      <c r="C2506"/>
      <c r="M2506"/>
    </row>
    <row r="2507" spans="3:13" ht="12.75" customHeight="1">
      <c r="C2507"/>
      <c r="M2507"/>
    </row>
    <row r="2508" spans="3:13" ht="12.75" customHeight="1">
      <c r="C2508"/>
      <c r="M2508"/>
    </row>
    <row r="2509" spans="3:13" ht="12.75" customHeight="1">
      <c r="C2509"/>
      <c r="M2509"/>
    </row>
    <row r="2510" spans="3:13" ht="12.75" customHeight="1">
      <c r="C2510"/>
      <c r="M2510"/>
    </row>
    <row r="2511" spans="3:13" ht="12.75" customHeight="1">
      <c r="C2511"/>
      <c r="M2511"/>
    </row>
    <row r="2512" spans="3:13" ht="12.75" customHeight="1">
      <c r="C2512"/>
      <c r="M2512"/>
    </row>
    <row r="2513" spans="3:13" ht="12.75" customHeight="1">
      <c r="C2513"/>
      <c r="M2513"/>
    </row>
    <row r="2514" spans="3:13" ht="12.75" customHeight="1">
      <c r="C2514"/>
      <c r="M2514"/>
    </row>
    <row r="2515" spans="3:13" ht="12.75" customHeight="1">
      <c r="C2515"/>
      <c r="M2515"/>
    </row>
    <row r="2516" spans="3:13" ht="12.75" customHeight="1">
      <c r="C2516"/>
      <c r="M2516"/>
    </row>
    <row r="2517" spans="3:13" ht="12.75" customHeight="1">
      <c r="C2517"/>
      <c r="M2517"/>
    </row>
    <row r="2518" spans="3:13" ht="12.75" customHeight="1">
      <c r="C2518"/>
      <c r="M2518"/>
    </row>
    <row r="2519" spans="3:13" ht="12.75" customHeight="1">
      <c r="C2519"/>
      <c r="M2519"/>
    </row>
    <row r="2520" spans="3:13" ht="12.75" customHeight="1">
      <c r="C2520"/>
      <c r="M2520"/>
    </row>
    <row r="2521" spans="3:13" ht="12.75" customHeight="1">
      <c r="C2521"/>
      <c r="M2521"/>
    </row>
    <row r="2522" spans="3:13" ht="12.75" customHeight="1">
      <c r="C2522"/>
      <c r="M2522"/>
    </row>
    <row r="2523" spans="3:13" ht="12.75" customHeight="1">
      <c r="C2523"/>
      <c r="M2523"/>
    </row>
    <row r="2524" spans="3:13" ht="12.75" customHeight="1">
      <c r="C2524"/>
      <c r="M2524"/>
    </row>
    <row r="2525" spans="3:13" ht="12.75" customHeight="1">
      <c r="C2525"/>
      <c r="M2525"/>
    </row>
    <row r="2526" spans="3:13" ht="12.75" customHeight="1">
      <c r="C2526"/>
      <c r="M2526"/>
    </row>
    <row r="2527" spans="3:13" ht="12.75" customHeight="1">
      <c r="C2527"/>
      <c r="M2527"/>
    </row>
    <row r="2528" spans="3:13" ht="12.75" customHeight="1">
      <c r="C2528"/>
      <c r="M2528"/>
    </row>
    <row r="2529" spans="3:13" ht="12.75" customHeight="1">
      <c r="C2529"/>
      <c r="M2529"/>
    </row>
    <row r="2530" spans="3:13" ht="12.75" customHeight="1">
      <c r="C2530"/>
      <c r="M2530"/>
    </row>
    <row r="2531" spans="3:13" ht="12.75" customHeight="1">
      <c r="C2531"/>
      <c r="M2531"/>
    </row>
    <row r="2532" spans="3:13" ht="12.75" customHeight="1">
      <c r="C2532"/>
      <c r="M2532"/>
    </row>
    <row r="2533" spans="3:13" ht="12.75" customHeight="1">
      <c r="C2533"/>
      <c r="M2533"/>
    </row>
    <row r="2534" spans="3:13" ht="12.75" customHeight="1">
      <c r="C2534"/>
      <c r="M2534"/>
    </row>
    <row r="2535" spans="3:13" ht="12.75" customHeight="1">
      <c r="C2535"/>
      <c r="M2535"/>
    </row>
    <row r="2536" spans="3:13" ht="12.75" customHeight="1">
      <c r="C2536"/>
      <c r="M2536"/>
    </row>
    <row r="2537" spans="3:13" ht="12.75" customHeight="1">
      <c r="C2537"/>
      <c r="M2537"/>
    </row>
    <row r="2538" spans="3:13" ht="12.75" customHeight="1">
      <c r="C2538"/>
      <c r="M2538"/>
    </row>
    <row r="2539" spans="3:13" ht="12.75" customHeight="1">
      <c r="C2539"/>
      <c r="M2539"/>
    </row>
    <row r="2540" spans="3:13" ht="12.75" customHeight="1">
      <c r="C2540"/>
      <c r="M2540"/>
    </row>
    <row r="2541" spans="3:13" ht="12.75" customHeight="1">
      <c r="C2541"/>
      <c r="M2541"/>
    </row>
    <row r="2542" spans="3:13" ht="12.75" customHeight="1">
      <c r="C2542"/>
      <c r="M2542"/>
    </row>
    <row r="2543" spans="3:13" ht="12.75" customHeight="1">
      <c r="C2543"/>
      <c r="M2543"/>
    </row>
    <row r="2544" spans="3:13" ht="12.75" customHeight="1">
      <c r="C2544"/>
      <c r="M2544"/>
    </row>
    <row r="2545" spans="3:13" ht="12.75" customHeight="1">
      <c r="C2545"/>
      <c r="M2545"/>
    </row>
    <row r="2546" spans="3:13" ht="12.75" customHeight="1">
      <c r="C2546"/>
      <c r="M2546"/>
    </row>
    <row r="2547" spans="3:13" ht="12.75" customHeight="1">
      <c r="C2547"/>
      <c r="M2547"/>
    </row>
    <row r="2548" spans="3:13" ht="12.75" customHeight="1">
      <c r="C2548"/>
      <c r="M2548"/>
    </row>
    <row r="2549" spans="3:13" ht="12.75" customHeight="1">
      <c r="C2549"/>
      <c r="M2549"/>
    </row>
    <row r="2550" spans="3:13" ht="12.75" customHeight="1">
      <c r="C2550"/>
      <c r="M2550"/>
    </row>
    <row r="2551" spans="3:13" ht="12.75" customHeight="1">
      <c r="C2551"/>
      <c r="M2551"/>
    </row>
    <row r="2552" spans="3:13" ht="12.75" customHeight="1">
      <c r="C2552"/>
      <c r="M2552"/>
    </row>
    <row r="2553" spans="3:13" ht="12.75" customHeight="1">
      <c r="C2553"/>
      <c r="M2553"/>
    </row>
    <row r="2554" spans="3:13" ht="12.75" customHeight="1">
      <c r="C2554"/>
      <c r="M2554"/>
    </row>
    <row r="2555" spans="3:13" ht="12.75" customHeight="1">
      <c r="C2555"/>
      <c r="M2555"/>
    </row>
    <row r="2556" spans="3:13" ht="12.75" customHeight="1">
      <c r="C2556"/>
      <c r="M2556"/>
    </row>
    <row r="2557" spans="3:13" ht="12.75" customHeight="1">
      <c r="C2557"/>
      <c r="M2557"/>
    </row>
    <row r="2558" spans="3:13" ht="12.75" customHeight="1">
      <c r="C2558"/>
      <c r="M2558"/>
    </row>
    <row r="2559" spans="3:13" ht="12.75" customHeight="1">
      <c r="C2559"/>
      <c r="M2559"/>
    </row>
    <row r="2560" spans="3:13" ht="12.75" customHeight="1">
      <c r="C2560"/>
      <c r="M2560"/>
    </row>
    <row r="2561" spans="3:13" ht="12.75" customHeight="1">
      <c r="C2561"/>
      <c r="M2561"/>
    </row>
    <row r="2562" spans="3:13" ht="12.75" customHeight="1">
      <c r="C2562"/>
      <c r="M2562"/>
    </row>
    <row r="2563" spans="3:13" ht="12.75" customHeight="1">
      <c r="C2563"/>
      <c r="M2563"/>
    </row>
    <row r="2564" spans="3:13" ht="12.75" customHeight="1">
      <c r="C2564"/>
      <c r="M2564"/>
    </row>
    <row r="2565" spans="3:13" ht="12.75" customHeight="1">
      <c r="C2565"/>
      <c r="M2565"/>
    </row>
    <row r="2566" spans="3:13" ht="12.75" customHeight="1">
      <c r="C2566"/>
      <c r="M2566"/>
    </row>
    <row r="2567" spans="3:13" ht="12.75" customHeight="1">
      <c r="C2567"/>
      <c r="M2567"/>
    </row>
    <row r="2568" spans="3:13" ht="12.75" customHeight="1">
      <c r="C2568"/>
      <c r="M2568"/>
    </row>
    <row r="2569" spans="3:13" ht="12.75" customHeight="1">
      <c r="C2569"/>
      <c r="M2569"/>
    </row>
    <row r="2570" spans="3:13" ht="12.75" customHeight="1">
      <c r="C2570"/>
      <c r="M2570"/>
    </row>
    <row r="2571" spans="3:13" ht="12.75" customHeight="1">
      <c r="C2571"/>
      <c r="M2571"/>
    </row>
    <row r="2572" spans="3:13" ht="12.75" customHeight="1">
      <c r="C2572"/>
      <c r="M2572"/>
    </row>
    <row r="2573" spans="3:13" ht="12.75" customHeight="1">
      <c r="C2573"/>
      <c r="M2573"/>
    </row>
    <row r="2574" spans="3:13" ht="12.75" customHeight="1">
      <c r="C2574"/>
      <c r="M2574"/>
    </row>
    <row r="2575" spans="3:13" ht="12.75" customHeight="1">
      <c r="C2575"/>
      <c r="M2575"/>
    </row>
    <row r="2576" spans="3:13" ht="12.75" customHeight="1">
      <c r="C2576"/>
      <c r="M2576"/>
    </row>
    <row r="2577" spans="3:13" ht="12.75" customHeight="1">
      <c r="C2577"/>
      <c r="M2577"/>
    </row>
    <row r="2578" spans="3:13" ht="12.75" customHeight="1">
      <c r="C2578"/>
      <c r="M2578"/>
    </row>
    <row r="2579" spans="3:13" ht="12.75" customHeight="1">
      <c r="C2579"/>
      <c r="M2579"/>
    </row>
    <row r="2580" spans="3:13" ht="12.75" customHeight="1">
      <c r="C2580"/>
      <c r="M2580"/>
    </row>
    <row r="2581" spans="3:13" ht="12.75" customHeight="1">
      <c r="C2581"/>
      <c r="M2581"/>
    </row>
    <row r="2582" spans="3:13" ht="12.75" customHeight="1">
      <c r="C2582"/>
      <c r="M2582"/>
    </row>
    <row r="2583" spans="3:13" ht="12.75" customHeight="1">
      <c r="C2583"/>
      <c r="M2583"/>
    </row>
    <row r="2584" spans="3:13" ht="12.75" customHeight="1">
      <c r="C2584"/>
      <c r="M2584"/>
    </row>
    <row r="2585" spans="3:13" ht="12.75" customHeight="1">
      <c r="C2585"/>
      <c r="M2585"/>
    </row>
    <row r="2586" spans="3:13" ht="12.75" customHeight="1">
      <c r="C2586"/>
      <c r="M2586"/>
    </row>
    <row r="2587" spans="3:13" ht="12.75" customHeight="1">
      <c r="C2587"/>
      <c r="M2587"/>
    </row>
    <row r="2588" spans="3:13" ht="12.75" customHeight="1">
      <c r="C2588"/>
      <c r="M2588"/>
    </row>
    <row r="2589" spans="3:13" ht="12.75" customHeight="1">
      <c r="C2589"/>
      <c r="M2589"/>
    </row>
    <row r="2590" spans="3:13" ht="12.75" customHeight="1">
      <c r="C2590"/>
      <c r="M2590"/>
    </row>
    <row r="2591" spans="3:13" ht="12.75" customHeight="1">
      <c r="C2591"/>
      <c r="M2591"/>
    </row>
    <row r="2592" spans="3:13" ht="12.75" customHeight="1">
      <c r="C2592"/>
      <c r="M2592"/>
    </row>
    <row r="2593" spans="3:13" ht="12.75" customHeight="1">
      <c r="C2593"/>
      <c r="M2593"/>
    </row>
    <row r="2594" spans="3:13" ht="12.75" customHeight="1">
      <c r="C2594"/>
      <c r="M2594"/>
    </row>
    <row r="2595" spans="3:13" ht="12.75" customHeight="1">
      <c r="C2595"/>
      <c r="M2595"/>
    </row>
    <row r="2596" spans="3:13" ht="12.75" customHeight="1">
      <c r="C2596"/>
      <c r="M2596"/>
    </row>
    <row r="2597" spans="3:13" ht="12.75" customHeight="1">
      <c r="C2597"/>
      <c r="M2597"/>
    </row>
    <row r="2598" spans="3:13" ht="12.75" customHeight="1">
      <c r="C2598"/>
      <c r="M2598"/>
    </row>
    <row r="2599" spans="3:13" ht="12.75" customHeight="1">
      <c r="C2599"/>
      <c r="M2599"/>
    </row>
    <row r="2600" spans="3:13" ht="12.75" customHeight="1">
      <c r="C2600"/>
      <c r="M2600"/>
    </row>
    <row r="2601" spans="3:13" ht="12.75" customHeight="1">
      <c r="C2601"/>
      <c r="M2601"/>
    </row>
    <row r="2602" spans="3:13" ht="12.75" customHeight="1">
      <c r="C2602"/>
      <c r="M2602"/>
    </row>
    <row r="2603" spans="3:13" ht="12.75" customHeight="1">
      <c r="C2603"/>
      <c r="M2603"/>
    </row>
    <row r="2604" spans="3:13" ht="12.75" customHeight="1">
      <c r="C2604"/>
      <c r="M2604"/>
    </row>
    <row r="2605" spans="3:13" ht="12.75" customHeight="1">
      <c r="C2605"/>
      <c r="M2605"/>
    </row>
    <row r="2606" spans="3:13" ht="12.75" customHeight="1">
      <c r="C2606"/>
      <c r="M2606"/>
    </row>
    <row r="2607" spans="3:13" ht="12.75" customHeight="1">
      <c r="C2607"/>
      <c r="M2607"/>
    </row>
    <row r="2608" spans="3:13" ht="12.75" customHeight="1">
      <c r="C2608"/>
      <c r="M2608"/>
    </row>
    <row r="2609" spans="3:13" ht="12.75" customHeight="1">
      <c r="C2609"/>
      <c r="M2609"/>
    </row>
    <row r="2610" spans="3:13" ht="12.75" customHeight="1">
      <c r="C2610"/>
      <c r="M2610"/>
    </row>
    <row r="2611" spans="3:13" ht="12.75" customHeight="1">
      <c r="C2611"/>
      <c r="M2611"/>
    </row>
    <row r="2612" spans="3:13" ht="12.75" customHeight="1">
      <c r="C2612"/>
      <c r="M2612"/>
    </row>
    <row r="2613" spans="3:13" ht="12.75" customHeight="1">
      <c r="C2613"/>
      <c r="M2613"/>
    </row>
    <row r="2614" spans="3:13" ht="12.75" customHeight="1">
      <c r="C2614"/>
      <c r="M2614"/>
    </row>
    <row r="2615" spans="3:13" ht="12.75" customHeight="1">
      <c r="C2615"/>
      <c r="M2615"/>
    </row>
    <row r="2616" spans="3:13" ht="12.75" customHeight="1">
      <c r="C2616"/>
      <c r="M2616"/>
    </row>
    <row r="2617" spans="3:13" ht="12.75" customHeight="1">
      <c r="C2617"/>
      <c r="M2617"/>
    </row>
    <row r="2618" spans="3:13" ht="12.75" customHeight="1">
      <c r="C2618"/>
      <c r="M2618"/>
    </row>
    <row r="2619" spans="3:13" ht="12.75" customHeight="1">
      <c r="C2619"/>
      <c r="M2619"/>
    </row>
    <row r="2620" spans="3:13" ht="12.75" customHeight="1">
      <c r="C2620"/>
      <c r="M2620"/>
    </row>
    <row r="2621" spans="3:13" ht="12.75" customHeight="1">
      <c r="C2621"/>
      <c r="M2621"/>
    </row>
    <row r="2622" spans="3:13" ht="12.75" customHeight="1">
      <c r="C2622"/>
      <c r="M2622"/>
    </row>
    <row r="2623" spans="3:13" ht="12.75" customHeight="1">
      <c r="C2623"/>
      <c r="M2623"/>
    </row>
    <row r="2624" spans="3:13" ht="12.75" customHeight="1">
      <c r="C2624"/>
      <c r="M2624"/>
    </row>
    <row r="2625" spans="3:13" ht="12.75" customHeight="1">
      <c r="C2625"/>
      <c r="M2625"/>
    </row>
    <row r="2626" spans="3:13" ht="12.75" customHeight="1">
      <c r="C2626"/>
      <c r="M2626"/>
    </row>
    <row r="2627" spans="3:13" ht="12.75" customHeight="1">
      <c r="C2627"/>
      <c r="M2627"/>
    </row>
    <row r="2628" spans="3:13" ht="12.75" customHeight="1">
      <c r="C2628"/>
      <c r="M2628"/>
    </row>
    <row r="2629" spans="3:13" ht="12.75" customHeight="1">
      <c r="C2629"/>
      <c r="M2629"/>
    </row>
    <row r="2630" spans="3:13" ht="12.75" customHeight="1">
      <c r="C2630"/>
      <c r="M2630"/>
    </row>
    <row r="2631" spans="3:13" ht="12.75" customHeight="1">
      <c r="C2631"/>
      <c r="M2631"/>
    </row>
    <row r="2632" spans="3:13" ht="12.75" customHeight="1">
      <c r="C2632"/>
      <c r="M2632"/>
    </row>
    <row r="2633" spans="3:13" ht="12.75" customHeight="1">
      <c r="C2633"/>
      <c r="M2633"/>
    </row>
    <row r="2634" spans="3:13" ht="12.75" customHeight="1">
      <c r="C2634"/>
      <c r="M2634"/>
    </row>
    <row r="2635" spans="3:13" ht="12.75" customHeight="1">
      <c r="C2635"/>
      <c r="M2635"/>
    </row>
    <row r="2636" spans="3:13" ht="12.75" customHeight="1">
      <c r="C2636"/>
      <c r="M2636"/>
    </row>
    <row r="2637" spans="3:13" ht="12.75" customHeight="1">
      <c r="C2637"/>
      <c r="M2637"/>
    </row>
    <row r="2638" spans="3:13" ht="12.75" customHeight="1">
      <c r="C2638"/>
      <c r="M2638"/>
    </row>
    <row r="2639" spans="3:13" ht="12.75" customHeight="1">
      <c r="C2639"/>
      <c r="M2639"/>
    </row>
    <row r="2640" spans="3:13" ht="12.75" customHeight="1">
      <c r="C2640"/>
      <c r="M2640"/>
    </row>
    <row r="2641" spans="3:13" ht="12.75" customHeight="1">
      <c r="C2641"/>
      <c r="M2641"/>
    </row>
    <row r="2642" spans="3:13" ht="12.75" customHeight="1">
      <c r="C2642"/>
      <c r="M2642"/>
    </row>
    <row r="2643" spans="3:13" ht="12.75" customHeight="1">
      <c r="C2643"/>
      <c r="M2643"/>
    </row>
    <row r="2644" spans="3:13" ht="12.75" customHeight="1">
      <c r="C2644"/>
      <c r="M2644"/>
    </row>
    <row r="2645" spans="3:13" ht="12.75" customHeight="1">
      <c r="C2645"/>
      <c r="M2645"/>
    </row>
    <row r="2646" spans="3:13" ht="12.75" customHeight="1">
      <c r="C2646"/>
      <c r="M2646"/>
    </row>
    <row r="2647" spans="3:13" ht="12.75" customHeight="1">
      <c r="C2647"/>
      <c r="M2647"/>
    </row>
    <row r="2648" spans="3:13" ht="12.75" customHeight="1">
      <c r="C2648"/>
      <c r="M2648"/>
    </row>
    <row r="2649" spans="3:13" ht="12.75" customHeight="1">
      <c r="C2649"/>
      <c r="M2649"/>
    </row>
    <row r="2650" spans="3:13" ht="12.75" customHeight="1">
      <c r="C2650"/>
      <c r="M2650"/>
    </row>
    <row r="2651" spans="3:13" ht="12.75" customHeight="1">
      <c r="C2651"/>
      <c r="M2651"/>
    </row>
    <row r="2652" spans="3:13" ht="12.75" customHeight="1">
      <c r="C2652"/>
      <c r="M2652"/>
    </row>
    <row r="2653" spans="3:13" ht="12.75" customHeight="1">
      <c r="C2653"/>
      <c r="M2653"/>
    </row>
    <row r="2654" spans="3:13" ht="12.75" customHeight="1">
      <c r="C2654"/>
      <c r="M2654"/>
    </row>
    <row r="2655" spans="3:13" ht="12.75" customHeight="1">
      <c r="C2655"/>
      <c r="M2655"/>
    </row>
    <row r="2656" spans="3:13" ht="12.75" customHeight="1">
      <c r="C2656"/>
      <c r="M2656"/>
    </row>
    <row r="2657" spans="3:13" ht="12.75" customHeight="1">
      <c r="C2657"/>
      <c r="M2657"/>
    </row>
    <row r="2658" spans="3:13" ht="12.75" customHeight="1">
      <c r="C2658"/>
      <c r="M2658"/>
    </row>
    <row r="2659" spans="3:13" ht="12.75" customHeight="1">
      <c r="C2659"/>
      <c r="M2659"/>
    </row>
    <row r="2660" spans="3:13" ht="12.75" customHeight="1">
      <c r="C2660"/>
      <c r="M2660"/>
    </row>
    <row r="2661" spans="3:13" ht="12.75" customHeight="1">
      <c r="C2661"/>
      <c r="M2661"/>
    </row>
    <row r="2662" spans="3:13" ht="12.75" customHeight="1">
      <c r="C2662"/>
      <c r="M2662"/>
    </row>
    <row r="2663" spans="3:13" ht="12.75" customHeight="1">
      <c r="C2663"/>
      <c r="M2663"/>
    </row>
    <row r="2664" spans="3:13" ht="12.75" customHeight="1">
      <c r="C2664"/>
      <c r="M2664"/>
    </row>
    <row r="2665" spans="3:13" ht="12.75" customHeight="1">
      <c r="C2665"/>
      <c r="M2665"/>
    </row>
    <row r="2666" spans="3:13" ht="12.75" customHeight="1">
      <c r="C2666"/>
      <c r="M2666"/>
    </row>
    <row r="2667" spans="3:13" ht="12.75" customHeight="1">
      <c r="C2667"/>
      <c r="M2667"/>
    </row>
    <row r="2668" spans="3:13" ht="12.75" customHeight="1">
      <c r="C2668"/>
      <c r="M2668"/>
    </row>
    <row r="2669" spans="3:13" ht="12.75" customHeight="1">
      <c r="C2669"/>
      <c r="M2669"/>
    </row>
    <row r="2670" spans="3:13" ht="12.75" customHeight="1">
      <c r="C2670"/>
      <c r="M2670"/>
    </row>
    <row r="2671" spans="3:13" ht="12.75" customHeight="1">
      <c r="C2671"/>
      <c r="M2671"/>
    </row>
    <row r="2672" spans="3:13" ht="12.75" customHeight="1">
      <c r="C2672"/>
      <c r="M2672"/>
    </row>
    <row r="2673" spans="3:13" ht="12.75" customHeight="1">
      <c r="C2673"/>
      <c r="M2673"/>
    </row>
    <row r="2674" spans="3:13" ht="12.75" customHeight="1">
      <c r="C2674"/>
      <c r="M2674"/>
    </row>
    <row r="2675" spans="3:13" ht="12.75" customHeight="1">
      <c r="C2675"/>
      <c r="M2675"/>
    </row>
    <row r="2676" spans="3:13" ht="12.75" customHeight="1">
      <c r="C2676"/>
      <c r="M2676"/>
    </row>
    <row r="2677" spans="3:13" ht="12.75" customHeight="1">
      <c r="C2677"/>
      <c r="M2677"/>
    </row>
    <row r="2678" spans="3:13" ht="12.75" customHeight="1">
      <c r="C2678"/>
      <c r="M2678"/>
    </row>
    <row r="2679" spans="3:13" ht="12.75" customHeight="1">
      <c r="C2679"/>
      <c r="M2679"/>
    </row>
    <row r="2680" spans="3:13" ht="12.75" customHeight="1">
      <c r="C2680"/>
      <c r="M2680"/>
    </row>
    <row r="2681" spans="3:13" ht="12.75" customHeight="1">
      <c r="C2681"/>
      <c r="M2681"/>
    </row>
    <row r="2682" spans="3:13" ht="12.75" customHeight="1">
      <c r="C2682"/>
      <c r="M2682"/>
    </row>
    <row r="2683" spans="3:13" ht="12.75" customHeight="1">
      <c r="C2683"/>
      <c r="M2683"/>
    </row>
    <row r="2684" spans="3:13" ht="12.75" customHeight="1">
      <c r="C2684"/>
      <c r="M2684"/>
    </row>
    <row r="2685" spans="3:13" ht="12.75" customHeight="1">
      <c r="C2685"/>
      <c r="M2685"/>
    </row>
    <row r="2686" spans="3:13" ht="12.75" customHeight="1">
      <c r="C2686"/>
      <c r="M2686"/>
    </row>
    <row r="2687" spans="3:13" ht="12.75" customHeight="1">
      <c r="C2687"/>
      <c r="M2687"/>
    </row>
    <row r="2688" spans="3:13" ht="12.75" customHeight="1">
      <c r="C2688"/>
      <c r="M2688"/>
    </row>
    <row r="2689" spans="3:13" ht="12.75" customHeight="1">
      <c r="C2689"/>
      <c r="M2689"/>
    </row>
    <row r="2690" spans="3:13" ht="12.75" customHeight="1">
      <c r="C2690"/>
      <c r="M2690"/>
    </row>
    <row r="2691" spans="3:13" ht="12.75" customHeight="1">
      <c r="C2691"/>
      <c r="M2691"/>
    </row>
    <row r="2692" spans="3:13" ht="12.75" customHeight="1">
      <c r="C2692"/>
      <c r="M2692"/>
    </row>
    <row r="2693" spans="3:13" ht="12.75" customHeight="1">
      <c r="C2693"/>
      <c r="M2693"/>
    </row>
    <row r="2694" spans="3:13" ht="12.75" customHeight="1">
      <c r="C2694"/>
      <c r="M2694"/>
    </row>
    <row r="2695" spans="3:13" ht="12.75" customHeight="1">
      <c r="C2695"/>
      <c r="M2695"/>
    </row>
    <row r="2696" spans="3:13" ht="12.75" customHeight="1">
      <c r="C2696"/>
      <c r="M2696"/>
    </row>
    <row r="2697" spans="3:13" ht="12.75" customHeight="1">
      <c r="C2697"/>
      <c r="M2697"/>
    </row>
    <row r="2698" spans="3:13" ht="12.75" customHeight="1">
      <c r="C2698"/>
      <c r="M2698"/>
    </row>
    <row r="2699" spans="3:13" ht="12.75" customHeight="1">
      <c r="C2699"/>
      <c r="M2699"/>
    </row>
    <row r="2700" spans="3:13" ht="12.75" customHeight="1">
      <c r="C2700"/>
      <c r="M2700"/>
    </row>
    <row r="2701" spans="3:13" ht="12.75" customHeight="1">
      <c r="C2701"/>
      <c r="M2701"/>
    </row>
    <row r="2702" spans="3:13" ht="12.75" customHeight="1">
      <c r="C2702"/>
      <c r="M2702"/>
    </row>
    <row r="2703" spans="3:13" ht="12.75" customHeight="1">
      <c r="C2703"/>
      <c r="M2703"/>
    </row>
    <row r="2704" spans="3:13" ht="12.75" customHeight="1">
      <c r="C2704"/>
      <c r="M2704"/>
    </row>
    <row r="2705" spans="3:13" ht="12.75" customHeight="1">
      <c r="C2705"/>
      <c r="M2705"/>
    </row>
    <row r="2706" spans="3:13" ht="12.75" customHeight="1">
      <c r="C2706"/>
      <c r="M2706"/>
    </row>
    <row r="2707" spans="3:13" ht="12.75" customHeight="1">
      <c r="C2707"/>
      <c r="M2707"/>
    </row>
    <row r="2708" spans="3:13" ht="12.75" customHeight="1">
      <c r="C2708"/>
      <c r="M2708"/>
    </row>
    <row r="2709" spans="3:13" ht="12.75" customHeight="1">
      <c r="C2709"/>
      <c r="M2709"/>
    </row>
    <row r="2710" spans="3:13" ht="12.75" customHeight="1">
      <c r="C2710"/>
      <c r="M2710"/>
    </row>
    <row r="2711" spans="3:13" ht="12.75" customHeight="1">
      <c r="C2711"/>
      <c r="M2711"/>
    </row>
    <row r="2712" spans="3:13" ht="12.75" customHeight="1">
      <c r="C2712"/>
      <c r="M2712"/>
    </row>
    <row r="2713" spans="3:13" ht="12.75" customHeight="1">
      <c r="C2713"/>
      <c r="M2713"/>
    </row>
    <row r="2714" spans="3:13" ht="12.75" customHeight="1">
      <c r="C2714"/>
      <c r="M2714"/>
    </row>
    <row r="2715" spans="3:13" ht="12.75" customHeight="1">
      <c r="C2715"/>
      <c r="M2715"/>
    </row>
    <row r="2716" spans="3:13" ht="12.75" customHeight="1">
      <c r="C2716"/>
      <c r="M2716"/>
    </row>
    <row r="2717" spans="3:13" ht="12.75" customHeight="1">
      <c r="C2717"/>
      <c r="M2717"/>
    </row>
    <row r="2718" spans="3:13" ht="12.75" customHeight="1">
      <c r="C2718"/>
      <c r="M2718"/>
    </row>
    <row r="2719" spans="3:13" ht="12.75" customHeight="1">
      <c r="C2719"/>
      <c r="M2719"/>
    </row>
    <row r="2720" spans="3:13" ht="12.75" customHeight="1">
      <c r="C2720"/>
      <c r="M2720"/>
    </row>
    <row r="2721" spans="3:13" ht="12.75" customHeight="1">
      <c r="C2721"/>
      <c r="M2721"/>
    </row>
    <row r="2722" spans="3:13" ht="12.75" customHeight="1">
      <c r="C2722"/>
      <c r="M2722"/>
    </row>
    <row r="2723" spans="3:13" ht="12.75" customHeight="1">
      <c r="C2723"/>
      <c r="M2723"/>
    </row>
    <row r="2724" spans="3:13" ht="12.75" customHeight="1">
      <c r="C2724"/>
      <c r="M2724"/>
    </row>
    <row r="2725" spans="3:13" ht="12.75" customHeight="1">
      <c r="C2725"/>
      <c r="M2725"/>
    </row>
    <row r="2726" spans="3:13" ht="12.75" customHeight="1">
      <c r="C2726"/>
      <c r="M2726"/>
    </row>
    <row r="2727" spans="3:13" ht="12.75" customHeight="1">
      <c r="C2727"/>
      <c r="M2727"/>
    </row>
    <row r="2728" spans="3:13" ht="12.75" customHeight="1">
      <c r="C2728"/>
      <c r="M2728"/>
    </row>
    <row r="2729" spans="3:13" ht="12.75" customHeight="1">
      <c r="C2729"/>
      <c r="M2729"/>
    </row>
    <row r="2730" spans="3:13" ht="12.75" customHeight="1">
      <c r="C2730"/>
      <c r="M2730"/>
    </row>
    <row r="2731" spans="3:13" ht="12.75" customHeight="1">
      <c r="C2731"/>
      <c r="M2731"/>
    </row>
    <row r="2732" spans="3:13" ht="12.75" customHeight="1">
      <c r="C2732"/>
      <c r="M2732"/>
    </row>
    <row r="2733" spans="3:13" ht="12.75" customHeight="1">
      <c r="C2733"/>
      <c r="M2733"/>
    </row>
    <row r="2734" spans="3:13" ht="12.75" customHeight="1">
      <c r="C2734"/>
      <c r="M2734"/>
    </row>
    <row r="2735" spans="3:13" ht="12.75" customHeight="1">
      <c r="C2735"/>
      <c r="M2735"/>
    </row>
    <row r="2736" spans="3:13" ht="12.75" customHeight="1">
      <c r="C2736"/>
      <c r="M2736"/>
    </row>
    <row r="2737" spans="3:13" ht="12.75" customHeight="1">
      <c r="C2737"/>
      <c r="M2737"/>
    </row>
    <row r="2738" spans="3:13" ht="12.75" customHeight="1">
      <c r="C2738"/>
      <c r="M2738"/>
    </row>
    <row r="2739" spans="3:13" ht="12.75" customHeight="1">
      <c r="C2739"/>
      <c r="M2739"/>
    </row>
    <row r="2740" spans="3:13" ht="12.75" customHeight="1">
      <c r="C2740"/>
      <c r="M2740"/>
    </row>
    <row r="2741" spans="3:13" ht="12.75" customHeight="1">
      <c r="C2741"/>
      <c r="M2741"/>
    </row>
    <row r="2742" spans="3:13" ht="12.75" customHeight="1">
      <c r="C2742"/>
      <c r="M2742"/>
    </row>
    <row r="2743" spans="3:13" ht="12.75" customHeight="1">
      <c r="C2743"/>
      <c r="M2743"/>
    </row>
    <row r="2744" spans="3:13" ht="12.75" customHeight="1">
      <c r="C2744"/>
      <c r="M2744"/>
    </row>
    <row r="2745" spans="3:13" ht="12.75" customHeight="1">
      <c r="C2745"/>
      <c r="M2745"/>
    </row>
    <row r="2746" spans="3:13" ht="12.75" customHeight="1">
      <c r="C2746"/>
      <c r="M2746"/>
    </row>
    <row r="2747" spans="3:13" ht="12.75" customHeight="1">
      <c r="C2747"/>
      <c r="M2747"/>
    </row>
    <row r="2748" spans="3:13" ht="12.75" customHeight="1">
      <c r="C2748"/>
      <c r="M2748"/>
    </row>
    <row r="2749" spans="3:13" ht="12.75" customHeight="1">
      <c r="C2749"/>
      <c r="M2749"/>
    </row>
    <row r="2750" spans="3:13" ht="12.75" customHeight="1">
      <c r="C2750"/>
      <c r="M2750"/>
    </row>
    <row r="2751" spans="3:13" ht="12.75" customHeight="1">
      <c r="C2751"/>
      <c r="M2751"/>
    </row>
    <row r="2752" spans="3:13" ht="12.75" customHeight="1">
      <c r="C2752"/>
      <c r="M2752"/>
    </row>
    <row r="2753" spans="3:13" ht="12.75" customHeight="1">
      <c r="C2753"/>
      <c r="M2753"/>
    </row>
    <row r="2754" spans="3:13" ht="12.75" customHeight="1">
      <c r="C2754"/>
      <c r="M2754"/>
    </row>
    <row r="2755" spans="3:13" ht="12.75" customHeight="1">
      <c r="C2755"/>
      <c r="M2755"/>
    </row>
    <row r="2756" spans="3:13" ht="12.75" customHeight="1">
      <c r="C2756"/>
      <c r="M2756"/>
    </row>
    <row r="2757" spans="3:13" ht="12.75" customHeight="1">
      <c r="C2757"/>
      <c r="M2757"/>
    </row>
    <row r="2758" spans="3:13" ht="12.75" customHeight="1">
      <c r="C2758"/>
      <c r="M2758"/>
    </row>
    <row r="2759" spans="3:13" ht="12.75" customHeight="1">
      <c r="C2759"/>
      <c r="M2759"/>
    </row>
    <row r="2760" spans="3:13" ht="12.75" customHeight="1">
      <c r="C2760"/>
      <c r="M2760"/>
    </row>
    <row r="2761" spans="3:13" ht="12.75" customHeight="1">
      <c r="C2761"/>
      <c r="M2761"/>
    </row>
    <row r="2762" spans="3:13" ht="12.75" customHeight="1">
      <c r="C2762"/>
      <c r="M2762"/>
    </row>
    <row r="2763" spans="3:13" ht="12.75" customHeight="1">
      <c r="C2763"/>
      <c r="M2763"/>
    </row>
    <row r="2764" spans="3:13" ht="12.75" customHeight="1">
      <c r="C2764"/>
      <c r="M2764"/>
    </row>
    <row r="2765" spans="3:13" ht="12.75" customHeight="1">
      <c r="C2765"/>
      <c r="M2765"/>
    </row>
    <row r="2766" spans="3:13" ht="12.75" customHeight="1">
      <c r="C2766"/>
      <c r="M2766"/>
    </row>
    <row r="2767" spans="3:13" ht="12.75" customHeight="1">
      <c r="C2767"/>
      <c r="M2767"/>
    </row>
    <row r="2768" spans="3:13" ht="12.75" customHeight="1">
      <c r="C2768"/>
      <c r="M2768"/>
    </row>
    <row r="2769" spans="3:13" ht="12.75" customHeight="1">
      <c r="C2769"/>
      <c r="M2769"/>
    </row>
    <row r="2770" spans="3:13" ht="12.75" customHeight="1">
      <c r="C2770"/>
      <c r="M2770"/>
    </row>
    <row r="2771" spans="3:13" ht="12.75" customHeight="1">
      <c r="C2771"/>
      <c r="M2771"/>
    </row>
    <row r="2772" spans="3:13" ht="12.75" customHeight="1">
      <c r="C2772"/>
      <c r="M2772"/>
    </row>
    <row r="2773" spans="3:13" ht="12.75" customHeight="1">
      <c r="C2773"/>
      <c r="M2773"/>
    </row>
    <row r="2774" spans="3:13" ht="12.75" customHeight="1">
      <c r="C2774"/>
      <c r="M2774"/>
    </row>
    <row r="2775" spans="3:13" ht="12.75" customHeight="1">
      <c r="C2775"/>
      <c r="M2775"/>
    </row>
    <row r="2776" spans="3:13" ht="12.75" customHeight="1">
      <c r="C2776"/>
      <c r="M2776"/>
    </row>
    <row r="2777" spans="3:13" ht="12.75" customHeight="1">
      <c r="C2777"/>
      <c r="M2777"/>
    </row>
    <row r="2778" spans="3:13" ht="12.75" customHeight="1">
      <c r="C2778"/>
      <c r="M2778"/>
    </row>
    <row r="2779" spans="3:13" ht="12.75" customHeight="1">
      <c r="C2779"/>
      <c r="M2779"/>
    </row>
    <row r="2780" spans="3:13" ht="12.75" customHeight="1">
      <c r="C2780"/>
      <c r="M2780"/>
    </row>
    <row r="2781" spans="3:13" ht="12.75" customHeight="1">
      <c r="C2781"/>
      <c r="M2781"/>
    </row>
    <row r="2782" spans="3:13" ht="12.75" customHeight="1">
      <c r="C2782"/>
      <c r="M2782"/>
    </row>
    <row r="2783" spans="3:13" ht="12.75" customHeight="1">
      <c r="C2783"/>
      <c r="M2783"/>
    </row>
    <row r="2784" spans="3:13" ht="12.75" customHeight="1">
      <c r="C2784"/>
      <c r="M2784"/>
    </row>
    <row r="2785" spans="3:13" ht="12.75" customHeight="1">
      <c r="C2785"/>
      <c r="M2785"/>
    </row>
    <row r="2786" spans="3:13" ht="12.75" customHeight="1">
      <c r="C2786"/>
      <c r="M2786"/>
    </row>
    <row r="2787" spans="3:13" ht="12.75" customHeight="1">
      <c r="C2787"/>
      <c r="M2787"/>
    </row>
    <row r="2788" spans="3:13" ht="12.75" customHeight="1">
      <c r="C2788"/>
      <c r="M2788"/>
    </row>
    <row r="2789" spans="3:13" ht="12.75" customHeight="1">
      <c r="C2789"/>
      <c r="M2789"/>
    </row>
    <row r="2790" spans="3:13" ht="12.75" customHeight="1">
      <c r="C2790"/>
      <c r="M2790"/>
    </row>
    <row r="2791" spans="3:13" ht="12.75" customHeight="1">
      <c r="C2791"/>
      <c r="M2791"/>
    </row>
    <row r="2792" spans="3:13" ht="12.75" customHeight="1">
      <c r="C2792"/>
      <c r="M2792"/>
    </row>
    <row r="2793" spans="3:13" ht="12.75" customHeight="1">
      <c r="C2793"/>
      <c r="M2793"/>
    </row>
    <row r="2794" spans="3:13" ht="12.75" customHeight="1">
      <c r="C2794"/>
      <c r="M2794"/>
    </row>
    <row r="2795" spans="3:13" ht="12.75" customHeight="1">
      <c r="C2795"/>
      <c r="M2795"/>
    </row>
    <row r="2796" spans="3:13" ht="12.75" customHeight="1">
      <c r="C2796"/>
      <c r="M2796"/>
    </row>
    <row r="2797" spans="3:13" ht="12.75" customHeight="1">
      <c r="C2797"/>
      <c r="M2797"/>
    </row>
    <row r="2798" spans="3:13" ht="12.75" customHeight="1">
      <c r="C2798"/>
      <c r="M2798"/>
    </row>
    <row r="2799" spans="3:13" ht="12.75" customHeight="1">
      <c r="C2799"/>
      <c r="M2799"/>
    </row>
    <row r="2800" spans="3:13" ht="12.75" customHeight="1">
      <c r="C2800"/>
      <c r="M2800"/>
    </row>
    <row r="2801" spans="3:13" ht="12.75" customHeight="1">
      <c r="C2801"/>
      <c r="M2801"/>
    </row>
    <row r="2802" spans="3:13" ht="12.75" customHeight="1">
      <c r="C2802"/>
      <c r="M2802"/>
    </row>
    <row r="2803" spans="3:13" ht="12.75" customHeight="1">
      <c r="C2803"/>
      <c r="M2803"/>
    </row>
    <row r="2804" spans="3:13" ht="12.75" customHeight="1">
      <c r="C2804"/>
      <c r="M2804"/>
    </row>
    <row r="2805" spans="3:13" ht="12.75" customHeight="1">
      <c r="C2805"/>
      <c r="M2805"/>
    </row>
    <row r="2806" spans="3:13" ht="12.75" customHeight="1">
      <c r="C2806"/>
      <c r="M2806"/>
    </row>
    <row r="2807" spans="3:13" ht="12.75" customHeight="1">
      <c r="C2807"/>
      <c r="M2807"/>
    </row>
    <row r="2808" spans="3:13" ht="12.75" customHeight="1">
      <c r="C2808"/>
      <c r="M2808"/>
    </row>
    <row r="2809" spans="3:13" ht="12.75" customHeight="1">
      <c r="C2809"/>
      <c r="M2809"/>
    </row>
    <row r="2810" spans="3:13" ht="12.75" customHeight="1">
      <c r="C2810"/>
      <c r="M2810"/>
    </row>
    <row r="2811" spans="3:13" ht="12.75" customHeight="1">
      <c r="C2811"/>
      <c r="M2811"/>
    </row>
    <row r="2812" spans="3:13" ht="12.75" customHeight="1">
      <c r="C2812"/>
      <c r="M2812"/>
    </row>
    <row r="2813" spans="3:13" ht="12.75" customHeight="1">
      <c r="C2813"/>
      <c r="M2813"/>
    </row>
    <row r="2814" spans="3:13" ht="12.75" customHeight="1">
      <c r="C2814"/>
      <c r="M2814"/>
    </row>
    <row r="2815" spans="3:13" ht="12.75" customHeight="1">
      <c r="C2815"/>
      <c r="M2815"/>
    </row>
    <row r="2816" spans="3:13" ht="12.75" customHeight="1">
      <c r="C2816"/>
      <c r="M2816"/>
    </row>
    <row r="2817" spans="3:13" ht="12.75" customHeight="1">
      <c r="C2817"/>
      <c r="M2817"/>
    </row>
    <row r="2818" spans="3:13" ht="12.75" customHeight="1">
      <c r="C2818"/>
      <c r="M2818"/>
    </row>
    <row r="2819" spans="3:13" ht="12.75" customHeight="1">
      <c r="C2819"/>
      <c r="M2819"/>
    </row>
    <row r="2820" spans="3:13" ht="12.75" customHeight="1">
      <c r="C2820"/>
      <c r="M2820"/>
    </row>
    <row r="2821" spans="3:13" ht="12.75" customHeight="1">
      <c r="C2821"/>
      <c r="M2821"/>
    </row>
    <row r="2822" spans="3:13" ht="12.75" customHeight="1">
      <c r="C2822"/>
      <c r="M2822"/>
    </row>
    <row r="2823" spans="3:13" ht="12.75" customHeight="1">
      <c r="C2823"/>
      <c r="M2823"/>
    </row>
    <row r="2824" spans="3:13" ht="12.75" customHeight="1">
      <c r="C2824"/>
      <c r="M2824"/>
    </row>
    <row r="2825" spans="3:13" ht="12.75" customHeight="1">
      <c r="C2825"/>
      <c r="M2825"/>
    </row>
    <row r="2826" spans="3:13" ht="12.75" customHeight="1">
      <c r="C2826"/>
      <c r="M2826"/>
    </row>
    <row r="2827" spans="3:13" ht="12.75" customHeight="1">
      <c r="C2827"/>
      <c r="M2827"/>
    </row>
    <row r="2828" spans="3:13" ht="12.75" customHeight="1">
      <c r="C2828"/>
      <c r="M2828"/>
    </row>
    <row r="2829" spans="3:13" ht="12.75" customHeight="1">
      <c r="C2829"/>
      <c r="M2829"/>
    </row>
    <row r="2830" spans="3:13" ht="12.75" customHeight="1">
      <c r="C2830"/>
      <c r="M2830"/>
    </row>
    <row r="2831" spans="3:13" ht="12.75" customHeight="1">
      <c r="C2831"/>
      <c r="M2831"/>
    </row>
    <row r="2832" spans="3:13" ht="12.75" customHeight="1">
      <c r="C2832"/>
      <c r="M2832"/>
    </row>
    <row r="2833" spans="3:13" ht="12.75" customHeight="1">
      <c r="C2833"/>
      <c r="M2833"/>
    </row>
    <row r="2834" spans="3:13" ht="12.75" customHeight="1">
      <c r="C2834"/>
      <c r="M2834"/>
    </row>
    <row r="2835" spans="3:13" ht="12.75" customHeight="1">
      <c r="C2835"/>
      <c r="M2835"/>
    </row>
    <row r="2836" spans="3:13" ht="12.75" customHeight="1">
      <c r="C2836"/>
      <c r="M2836"/>
    </row>
    <row r="2837" spans="3:13" ht="12.75" customHeight="1">
      <c r="C2837"/>
      <c r="M2837"/>
    </row>
    <row r="2838" spans="3:13" ht="12.75" customHeight="1">
      <c r="C2838"/>
      <c r="M2838"/>
    </row>
    <row r="2839" spans="3:13" ht="12.75" customHeight="1">
      <c r="C2839"/>
      <c r="M2839"/>
    </row>
    <row r="2840" spans="3:13" ht="12.75" customHeight="1">
      <c r="C2840"/>
      <c r="M2840"/>
    </row>
    <row r="2841" spans="3:13" ht="12.75" customHeight="1">
      <c r="C2841"/>
      <c r="M2841"/>
    </row>
    <row r="2842" spans="3:13" ht="12.75" customHeight="1">
      <c r="C2842"/>
      <c r="M2842"/>
    </row>
    <row r="2843" spans="3:13" ht="12.75" customHeight="1">
      <c r="C2843"/>
      <c r="M2843"/>
    </row>
    <row r="2844" spans="3:13" ht="12.75" customHeight="1">
      <c r="C2844"/>
      <c r="M2844"/>
    </row>
    <row r="2845" spans="3:13" ht="12.75" customHeight="1">
      <c r="C2845"/>
      <c r="M2845"/>
    </row>
    <row r="2846" spans="3:13" ht="12.75" customHeight="1">
      <c r="C2846"/>
      <c r="M2846"/>
    </row>
    <row r="2847" spans="3:13" ht="12.75" customHeight="1">
      <c r="C2847"/>
      <c r="M2847"/>
    </row>
    <row r="2848" spans="3:13" ht="12.75" customHeight="1">
      <c r="C2848"/>
      <c r="M2848"/>
    </row>
    <row r="2849" spans="3:13" ht="12.75" customHeight="1">
      <c r="C2849"/>
      <c r="M2849"/>
    </row>
    <row r="2850" spans="3:13" ht="12.75" customHeight="1">
      <c r="C2850"/>
      <c r="M2850"/>
    </row>
    <row r="2851" spans="3:13" ht="12.75" customHeight="1">
      <c r="C2851"/>
      <c r="M2851"/>
    </row>
    <row r="2852" spans="3:13" ht="12.75" customHeight="1">
      <c r="C2852"/>
      <c r="M2852"/>
    </row>
    <row r="2853" spans="3:13" ht="12.75" customHeight="1">
      <c r="C2853"/>
      <c r="M2853"/>
    </row>
    <row r="2854" spans="3:13" ht="12.75" customHeight="1">
      <c r="C2854"/>
      <c r="M2854"/>
    </row>
    <row r="2855" spans="3:13" ht="12.75" customHeight="1">
      <c r="C2855"/>
      <c r="M2855"/>
    </row>
    <row r="2856" spans="3:13" ht="12.75" customHeight="1">
      <c r="C2856"/>
      <c r="M2856"/>
    </row>
    <row r="2857" spans="3:13" ht="12.75" customHeight="1">
      <c r="C2857"/>
      <c r="M2857"/>
    </row>
    <row r="2858" spans="3:13" ht="12.75" customHeight="1">
      <c r="C2858"/>
      <c r="M2858"/>
    </row>
    <row r="2859" spans="3:13" ht="12.75" customHeight="1">
      <c r="C2859"/>
      <c r="M2859"/>
    </row>
    <row r="2860" spans="3:13" ht="12.75" customHeight="1">
      <c r="C2860"/>
      <c r="M2860"/>
    </row>
    <row r="2861" spans="3:13" ht="12.75" customHeight="1">
      <c r="C2861"/>
      <c r="M2861"/>
    </row>
    <row r="2862" spans="3:13" ht="12.75" customHeight="1">
      <c r="C2862"/>
      <c r="M2862"/>
    </row>
    <row r="2863" spans="3:13" ht="12.75" customHeight="1">
      <c r="C2863"/>
      <c r="M2863"/>
    </row>
    <row r="2864" spans="3:13" ht="12.75" customHeight="1">
      <c r="C2864"/>
      <c r="M2864"/>
    </row>
    <row r="2865" spans="3:13" ht="12.75" customHeight="1">
      <c r="C2865"/>
      <c r="M2865"/>
    </row>
    <row r="2866" spans="3:13" ht="12.75" customHeight="1">
      <c r="C2866"/>
      <c r="M2866"/>
    </row>
    <row r="2867" spans="3:13" ht="12.75" customHeight="1">
      <c r="C2867"/>
      <c r="M2867"/>
    </row>
    <row r="2868" spans="3:13" ht="12.75" customHeight="1">
      <c r="C2868"/>
      <c r="M2868"/>
    </row>
    <row r="2869" spans="3:13" ht="12.75" customHeight="1">
      <c r="C2869"/>
      <c r="M2869"/>
    </row>
    <row r="2870" spans="3:13" ht="12.75" customHeight="1">
      <c r="C2870"/>
      <c r="M2870"/>
    </row>
    <row r="2871" spans="3:13" ht="12.75" customHeight="1">
      <c r="C2871"/>
      <c r="M2871"/>
    </row>
    <row r="2872" spans="3:13" ht="12.75" customHeight="1">
      <c r="C2872"/>
      <c r="M2872"/>
    </row>
    <row r="2873" spans="3:13" ht="12.75" customHeight="1">
      <c r="C2873"/>
      <c r="M2873"/>
    </row>
    <row r="2874" spans="3:13" ht="12.75" customHeight="1">
      <c r="C2874"/>
      <c r="M2874"/>
    </row>
    <row r="2875" spans="3:13" ht="12.75" customHeight="1">
      <c r="C2875"/>
      <c r="M2875"/>
    </row>
    <row r="2876" spans="3:13" ht="12.75" customHeight="1">
      <c r="C2876"/>
      <c r="M2876"/>
    </row>
    <row r="2877" spans="3:13" ht="12.75" customHeight="1">
      <c r="C2877"/>
      <c r="M2877"/>
    </row>
    <row r="2878" spans="3:13" ht="12.75" customHeight="1">
      <c r="C2878"/>
      <c r="M2878"/>
    </row>
    <row r="2879" spans="3:13" ht="12.75" customHeight="1">
      <c r="C2879"/>
      <c r="M2879"/>
    </row>
    <row r="2880" spans="3:13" ht="12.75" customHeight="1">
      <c r="C2880"/>
      <c r="M2880"/>
    </row>
    <row r="2881" spans="3:13" ht="12.75" customHeight="1">
      <c r="C2881"/>
      <c r="M2881"/>
    </row>
    <row r="2882" spans="3:13" ht="12.75" customHeight="1">
      <c r="C2882"/>
      <c r="M2882"/>
    </row>
    <row r="2883" spans="3:13" ht="12.75" customHeight="1">
      <c r="C2883"/>
      <c r="M2883"/>
    </row>
    <row r="2884" spans="3:13" ht="12.75" customHeight="1">
      <c r="C2884"/>
      <c r="M2884"/>
    </row>
    <row r="2885" spans="3:13" ht="12.75" customHeight="1">
      <c r="C2885"/>
      <c r="M2885"/>
    </row>
    <row r="2886" spans="3:13" ht="12.75" customHeight="1">
      <c r="C2886"/>
      <c r="M2886"/>
    </row>
    <row r="2887" spans="3:13" ht="12.75" customHeight="1">
      <c r="C2887"/>
      <c r="M2887"/>
    </row>
    <row r="2888" spans="3:13" ht="12.75" customHeight="1">
      <c r="C2888"/>
      <c r="M2888"/>
    </row>
    <row r="2889" spans="3:13" ht="12.75" customHeight="1">
      <c r="C2889"/>
      <c r="M2889"/>
    </row>
    <row r="2890" spans="3:13" ht="12.75" customHeight="1">
      <c r="C2890"/>
      <c r="M2890"/>
    </row>
    <row r="2891" spans="3:13" ht="12.75" customHeight="1">
      <c r="C2891"/>
      <c r="M2891"/>
    </row>
    <row r="2892" spans="3:13" ht="12.75" customHeight="1">
      <c r="C2892"/>
      <c r="M2892"/>
    </row>
    <row r="2893" spans="3:13" ht="12.75" customHeight="1">
      <c r="C2893"/>
      <c r="M2893"/>
    </row>
    <row r="2894" spans="3:13" ht="12.75" customHeight="1">
      <c r="C2894"/>
      <c r="M2894"/>
    </row>
    <row r="2895" spans="3:13" ht="12.75" customHeight="1">
      <c r="C2895"/>
      <c r="M2895"/>
    </row>
    <row r="2896" spans="3:13" ht="12.75" customHeight="1">
      <c r="C2896"/>
      <c r="M2896"/>
    </row>
    <row r="2897" spans="3:13" ht="12.75" customHeight="1">
      <c r="C2897"/>
      <c r="M2897"/>
    </row>
    <row r="2898" spans="3:13" ht="12.75" customHeight="1">
      <c r="C2898"/>
      <c r="M2898"/>
    </row>
    <row r="2899" spans="3:13" ht="12.75" customHeight="1">
      <c r="C2899"/>
      <c r="M2899"/>
    </row>
    <row r="2900" spans="3:13" ht="12.75" customHeight="1">
      <c r="C2900"/>
      <c r="M2900"/>
    </row>
    <row r="2901" spans="3:13" ht="12.75" customHeight="1">
      <c r="C2901"/>
      <c r="M2901"/>
    </row>
    <row r="2902" spans="3:13" ht="12.75" customHeight="1">
      <c r="C2902"/>
      <c r="M2902"/>
    </row>
    <row r="2903" spans="3:13" ht="12.75" customHeight="1">
      <c r="C2903"/>
      <c r="M2903"/>
    </row>
    <row r="2904" spans="3:13" ht="12.75" customHeight="1">
      <c r="C2904"/>
      <c r="M2904"/>
    </row>
    <row r="2905" spans="3:13" ht="12.75" customHeight="1">
      <c r="C2905"/>
      <c r="M2905"/>
    </row>
    <row r="2906" spans="3:13" ht="12.75" customHeight="1">
      <c r="C2906"/>
      <c r="M2906"/>
    </row>
    <row r="2907" spans="3:13" ht="12.75" customHeight="1">
      <c r="C2907"/>
      <c r="M2907"/>
    </row>
    <row r="2908" spans="3:13" ht="12.75" customHeight="1">
      <c r="C2908"/>
      <c r="M2908"/>
    </row>
    <row r="2909" spans="3:13" ht="12.75" customHeight="1">
      <c r="C2909"/>
      <c r="M2909"/>
    </row>
    <row r="2910" spans="3:13" ht="12.75" customHeight="1">
      <c r="C2910"/>
      <c r="M2910"/>
    </row>
    <row r="2911" spans="3:13" ht="12.75" customHeight="1">
      <c r="C2911"/>
      <c r="M2911"/>
    </row>
    <row r="2912" spans="3:13" ht="12.75" customHeight="1">
      <c r="C2912"/>
      <c r="M2912"/>
    </row>
    <row r="2913" spans="3:13" ht="12.75" customHeight="1">
      <c r="C2913"/>
      <c r="M2913"/>
    </row>
    <row r="2914" spans="3:13" ht="12.75" customHeight="1">
      <c r="C2914"/>
      <c r="M2914"/>
    </row>
    <row r="2915" spans="3:13" ht="12.75" customHeight="1">
      <c r="C2915"/>
      <c r="M2915"/>
    </row>
    <row r="2916" spans="3:13" ht="12.75" customHeight="1">
      <c r="C2916"/>
      <c r="M2916"/>
    </row>
    <row r="2917" spans="3:13" ht="12.75" customHeight="1">
      <c r="C2917"/>
      <c r="M2917"/>
    </row>
    <row r="2918" spans="3:13" ht="12.75" customHeight="1">
      <c r="C2918"/>
      <c r="M2918"/>
    </row>
    <row r="2919" spans="3:13" ht="12.75" customHeight="1">
      <c r="C2919"/>
      <c r="M2919"/>
    </row>
    <row r="2920" spans="3:13" ht="12.75" customHeight="1">
      <c r="C2920"/>
      <c r="M2920"/>
    </row>
    <row r="2921" spans="3:13" ht="12.75" customHeight="1">
      <c r="C2921"/>
      <c r="M2921"/>
    </row>
    <row r="2922" spans="3:13" ht="12.75" customHeight="1">
      <c r="C2922"/>
      <c r="M2922"/>
    </row>
    <row r="2923" spans="3:13" ht="12.75" customHeight="1">
      <c r="C2923"/>
      <c r="M2923"/>
    </row>
    <row r="2924" spans="3:13" ht="12.75" customHeight="1">
      <c r="C2924"/>
      <c r="M2924"/>
    </row>
    <row r="2925" spans="3:13" ht="12.75" customHeight="1">
      <c r="C2925"/>
      <c r="M2925"/>
    </row>
    <row r="2926" spans="3:13" ht="12.75" customHeight="1">
      <c r="C2926"/>
      <c r="M2926"/>
    </row>
    <row r="2927" spans="3:13" ht="12.75" customHeight="1">
      <c r="C2927"/>
      <c r="M2927"/>
    </row>
    <row r="2928" spans="3:13" ht="12.75" customHeight="1">
      <c r="C2928"/>
      <c r="M2928"/>
    </row>
    <row r="2929" spans="3:13" ht="12.75" customHeight="1">
      <c r="C2929"/>
      <c r="M2929"/>
    </row>
    <row r="2930" spans="3:13" ht="12.75" customHeight="1">
      <c r="C2930"/>
      <c r="M2930"/>
    </row>
    <row r="2931" spans="3:13" ht="12.75" customHeight="1">
      <c r="C2931"/>
      <c r="M2931"/>
    </row>
    <row r="2932" spans="3:13" ht="12.75" customHeight="1">
      <c r="C2932"/>
      <c r="M2932"/>
    </row>
    <row r="2933" spans="3:13" ht="12.75" customHeight="1">
      <c r="C2933"/>
      <c r="M2933"/>
    </row>
    <row r="2934" spans="3:13" ht="12.75" customHeight="1">
      <c r="C2934"/>
      <c r="M2934"/>
    </row>
    <row r="2935" spans="3:13" ht="12.75" customHeight="1">
      <c r="C2935"/>
      <c r="M2935"/>
    </row>
    <row r="2936" spans="3:13" ht="12.75" customHeight="1">
      <c r="C2936"/>
      <c r="M2936"/>
    </row>
    <row r="2937" spans="3:13" ht="12.75" customHeight="1">
      <c r="C2937"/>
      <c r="M2937"/>
    </row>
    <row r="2938" spans="3:13" ht="12.75" customHeight="1">
      <c r="C2938"/>
      <c r="M2938"/>
    </row>
    <row r="2939" spans="3:13" ht="12.75" customHeight="1">
      <c r="C2939"/>
      <c r="M2939"/>
    </row>
    <row r="2940" spans="3:13" ht="12.75" customHeight="1">
      <c r="C2940"/>
      <c r="M2940"/>
    </row>
    <row r="2941" spans="3:13" ht="12.75" customHeight="1">
      <c r="C2941"/>
      <c r="M2941"/>
    </row>
    <row r="2942" spans="3:13" ht="12.75" customHeight="1">
      <c r="C2942"/>
      <c r="M2942"/>
    </row>
    <row r="2943" spans="3:13" ht="12.75" customHeight="1">
      <c r="C2943"/>
      <c r="M2943"/>
    </row>
    <row r="2944" spans="3:13" ht="12.75" customHeight="1">
      <c r="C2944"/>
      <c r="M2944"/>
    </row>
    <row r="2945" spans="3:13" ht="12.75" customHeight="1">
      <c r="C2945"/>
      <c r="M2945"/>
    </row>
    <row r="2946" spans="3:13" ht="12.75" customHeight="1">
      <c r="C2946"/>
      <c r="M2946"/>
    </row>
    <row r="2947" spans="3:13" ht="12.75" customHeight="1">
      <c r="C2947"/>
      <c r="M2947"/>
    </row>
    <row r="2948" spans="3:13" ht="12.75" customHeight="1">
      <c r="C2948"/>
      <c r="M2948"/>
    </row>
    <row r="2949" spans="3:13" ht="12.75" customHeight="1">
      <c r="C2949"/>
      <c r="M2949"/>
    </row>
    <row r="2950" spans="3:13" ht="12.75" customHeight="1">
      <c r="C2950"/>
      <c r="M2950"/>
    </row>
    <row r="2951" spans="3:13" ht="12.75" customHeight="1">
      <c r="C2951"/>
      <c r="M2951"/>
    </row>
    <row r="2952" spans="3:13" ht="12.75" customHeight="1">
      <c r="C2952"/>
      <c r="M2952"/>
    </row>
    <row r="2953" spans="3:13" ht="12.75" customHeight="1">
      <c r="C2953"/>
      <c r="M2953"/>
    </row>
    <row r="2954" spans="3:13" ht="12.75" customHeight="1">
      <c r="C2954"/>
      <c r="M2954"/>
    </row>
    <row r="2955" spans="3:13" ht="12.75" customHeight="1">
      <c r="C2955"/>
      <c r="M2955"/>
    </row>
    <row r="2956" spans="3:13" ht="12.75" customHeight="1">
      <c r="C2956"/>
      <c r="M2956"/>
    </row>
    <row r="2957" spans="3:13" ht="12.75" customHeight="1">
      <c r="C2957"/>
      <c r="M2957"/>
    </row>
    <row r="2958" spans="3:13" ht="12.75" customHeight="1">
      <c r="C2958"/>
      <c r="M2958"/>
    </row>
    <row r="2959" spans="3:13" ht="12.75" customHeight="1">
      <c r="C2959"/>
      <c r="M2959"/>
    </row>
    <row r="2960" spans="3:13" ht="12.75" customHeight="1">
      <c r="C2960"/>
      <c r="M2960"/>
    </row>
    <row r="2961" spans="3:13" ht="12.75" customHeight="1">
      <c r="C2961"/>
      <c r="M2961"/>
    </row>
    <row r="2962" spans="3:13" ht="12.75" customHeight="1">
      <c r="C2962"/>
      <c r="M2962"/>
    </row>
    <row r="2963" spans="3:13" ht="12.75" customHeight="1">
      <c r="C2963"/>
      <c r="M2963"/>
    </row>
    <row r="2964" spans="3:13" ht="12.75" customHeight="1">
      <c r="C2964"/>
      <c r="M2964"/>
    </row>
    <row r="2965" spans="3:13" ht="12.75" customHeight="1">
      <c r="C2965"/>
      <c r="M2965"/>
    </row>
    <row r="2966" spans="3:13" ht="12.75" customHeight="1">
      <c r="C2966"/>
      <c r="M2966"/>
    </row>
    <row r="2967" spans="3:13" ht="12.75" customHeight="1">
      <c r="C2967"/>
      <c r="M2967"/>
    </row>
    <row r="2968" spans="3:13" ht="12.75" customHeight="1">
      <c r="C2968"/>
      <c r="M2968"/>
    </row>
    <row r="2969" spans="3:13" ht="12.75" customHeight="1">
      <c r="C2969"/>
      <c r="M2969"/>
    </row>
    <row r="2970" spans="3:13" ht="12.75" customHeight="1">
      <c r="C2970"/>
      <c r="M2970"/>
    </row>
    <row r="2971" spans="3:13" ht="12.75" customHeight="1">
      <c r="C2971"/>
      <c r="M2971"/>
    </row>
    <row r="2972" spans="3:13" ht="12.75" customHeight="1">
      <c r="C2972"/>
      <c r="M2972"/>
    </row>
    <row r="2973" spans="3:13" ht="12.75" customHeight="1">
      <c r="C2973"/>
      <c r="M2973"/>
    </row>
    <row r="2974" spans="3:13" ht="12.75" customHeight="1">
      <c r="C2974"/>
      <c r="M2974"/>
    </row>
    <row r="2975" spans="3:13" ht="12.75" customHeight="1">
      <c r="C2975"/>
      <c r="M2975"/>
    </row>
    <row r="2976" spans="3:13" ht="12.75" customHeight="1">
      <c r="C2976"/>
      <c r="M2976"/>
    </row>
    <row r="2977" spans="3:13" ht="12.75" customHeight="1">
      <c r="C2977"/>
      <c r="M2977"/>
    </row>
    <row r="2978" spans="3:13" ht="12.75" customHeight="1">
      <c r="C2978"/>
      <c r="M2978"/>
    </row>
    <row r="2979" spans="3:13" ht="12.75" customHeight="1">
      <c r="C2979"/>
      <c r="M2979"/>
    </row>
    <row r="2980" spans="3:13" ht="12.75" customHeight="1">
      <c r="C2980"/>
      <c r="M2980"/>
    </row>
    <row r="2981" spans="3:13" ht="12.75" customHeight="1">
      <c r="C2981"/>
      <c r="M2981"/>
    </row>
    <row r="2982" spans="3:13" ht="12.75" customHeight="1">
      <c r="C2982"/>
      <c r="M2982"/>
    </row>
    <row r="2983" spans="3:13" ht="12.75" customHeight="1">
      <c r="C2983"/>
      <c r="M2983"/>
    </row>
    <row r="2984" spans="3:13" ht="12.75" customHeight="1">
      <c r="C2984"/>
      <c r="M2984"/>
    </row>
    <row r="2985" spans="3:13" ht="12.75" customHeight="1">
      <c r="C2985"/>
      <c r="M2985"/>
    </row>
    <row r="2986" spans="3:13" ht="12.75" customHeight="1">
      <c r="C2986"/>
      <c r="M2986"/>
    </row>
    <row r="2987" spans="3:13" ht="12.75" customHeight="1">
      <c r="C2987"/>
      <c r="M2987"/>
    </row>
    <row r="2988" spans="3:13" ht="12.75" customHeight="1">
      <c r="C2988"/>
      <c r="M2988"/>
    </row>
    <row r="2989" spans="3:13" ht="12.75" customHeight="1">
      <c r="C2989"/>
      <c r="M2989"/>
    </row>
    <row r="2990" spans="3:13" ht="12.75" customHeight="1">
      <c r="C2990"/>
      <c r="M2990"/>
    </row>
    <row r="2991" spans="3:13" ht="12.75" customHeight="1">
      <c r="C2991"/>
      <c r="M2991"/>
    </row>
    <row r="2992" spans="3:13" ht="12.75" customHeight="1">
      <c r="C2992"/>
      <c r="M2992"/>
    </row>
    <row r="2993" spans="3:13" ht="12.75" customHeight="1">
      <c r="C2993"/>
      <c r="M2993"/>
    </row>
    <row r="2994" spans="3:13" ht="12.75" customHeight="1">
      <c r="C2994"/>
      <c r="M2994"/>
    </row>
    <row r="2995" spans="3:13" ht="12.75" customHeight="1">
      <c r="C2995"/>
      <c r="M2995"/>
    </row>
    <row r="2996" spans="3:13" ht="12.75" customHeight="1">
      <c r="C2996"/>
      <c r="M2996"/>
    </row>
    <row r="2997" spans="3:13" ht="12.75" customHeight="1">
      <c r="C2997"/>
      <c r="M2997"/>
    </row>
    <row r="2998" spans="3:13" ht="12.75" customHeight="1">
      <c r="C2998"/>
      <c r="M2998"/>
    </row>
    <row r="2999" spans="3:13" ht="12.75" customHeight="1">
      <c r="C2999"/>
      <c r="M2999"/>
    </row>
    <row r="3000" spans="3:13" ht="12.75" customHeight="1">
      <c r="C3000"/>
      <c r="M3000"/>
    </row>
    <row r="3001" spans="3:13" ht="12.75" customHeight="1">
      <c r="C3001"/>
      <c r="M3001"/>
    </row>
    <row r="3002" spans="3:13" ht="12.75" customHeight="1">
      <c r="C3002"/>
      <c r="M3002"/>
    </row>
    <row r="3003" spans="3:13" ht="12.75" customHeight="1">
      <c r="C3003"/>
      <c r="M3003"/>
    </row>
    <row r="3004" spans="3:13" ht="12.75" customHeight="1">
      <c r="C3004"/>
      <c r="M3004"/>
    </row>
    <row r="3005" spans="3:13" ht="12.75" customHeight="1">
      <c r="C3005"/>
      <c r="M3005"/>
    </row>
    <row r="3006" spans="3:13" ht="12.75" customHeight="1">
      <c r="C3006"/>
      <c r="M3006"/>
    </row>
    <row r="3007" spans="3:13" ht="12.75" customHeight="1">
      <c r="C3007"/>
      <c r="M3007"/>
    </row>
    <row r="3008" spans="3:13" ht="12.75" customHeight="1">
      <c r="C3008"/>
      <c r="M3008"/>
    </row>
    <row r="3009" spans="3:13" ht="12.75" customHeight="1">
      <c r="C3009"/>
      <c r="M3009"/>
    </row>
    <row r="3010" spans="3:13" ht="12.75" customHeight="1">
      <c r="C3010"/>
      <c r="M3010"/>
    </row>
    <row r="3011" spans="3:13" ht="12.75" customHeight="1">
      <c r="C3011"/>
      <c r="M3011"/>
    </row>
    <row r="3012" spans="3:13" ht="12.75" customHeight="1">
      <c r="C3012"/>
      <c r="M3012"/>
    </row>
    <row r="3013" spans="3:13" ht="12.75" customHeight="1">
      <c r="C3013"/>
      <c r="M3013"/>
    </row>
    <row r="3014" spans="3:13" ht="12.75" customHeight="1">
      <c r="C3014"/>
      <c r="M3014"/>
    </row>
    <row r="3015" spans="3:13" ht="12.75" customHeight="1">
      <c r="C3015"/>
      <c r="M3015"/>
    </row>
    <row r="3016" spans="3:13" ht="12.75" customHeight="1">
      <c r="C3016"/>
      <c r="M3016"/>
    </row>
    <row r="3017" spans="3:13" ht="12.75" customHeight="1">
      <c r="C3017"/>
      <c r="M3017"/>
    </row>
    <row r="3018" spans="3:13" ht="12.75" customHeight="1">
      <c r="C3018"/>
      <c r="M3018"/>
    </row>
    <row r="3019" spans="3:13" ht="12.75" customHeight="1">
      <c r="C3019"/>
      <c r="M3019"/>
    </row>
    <row r="3020" spans="3:13" ht="12.75" customHeight="1">
      <c r="C3020"/>
      <c r="M3020"/>
    </row>
    <row r="3021" spans="3:13" ht="12.75" customHeight="1">
      <c r="C3021"/>
      <c r="M3021"/>
    </row>
    <row r="3022" spans="3:13" ht="12.75" customHeight="1">
      <c r="C3022"/>
      <c r="M3022"/>
    </row>
    <row r="3023" spans="3:13" ht="12.75" customHeight="1">
      <c r="C3023"/>
      <c r="M3023"/>
    </row>
    <row r="3024" spans="3:13" ht="12.75" customHeight="1">
      <c r="C3024"/>
      <c r="M3024"/>
    </row>
    <row r="3025" spans="3:13" ht="12.75" customHeight="1">
      <c r="C3025"/>
      <c r="M3025"/>
    </row>
    <row r="3026" spans="3:13" ht="12.75" customHeight="1">
      <c r="C3026"/>
      <c r="M3026"/>
    </row>
    <row r="3027" spans="3:13" ht="12.75" customHeight="1">
      <c r="C3027"/>
      <c r="M3027"/>
    </row>
    <row r="3028" spans="3:13" ht="12.75" customHeight="1">
      <c r="C3028"/>
      <c r="M3028"/>
    </row>
    <row r="3029" spans="3:13" ht="12.75" customHeight="1">
      <c r="C3029"/>
      <c r="M3029"/>
    </row>
    <row r="3030" spans="3:13" ht="12.75" customHeight="1">
      <c r="C3030"/>
      <c r="M3030"/>
    </row>
    <row r="3031" spans="3:13" ht="12.75" customHeight="1">
      <c r="C3031"/>
      <c r="M3031"/>
    </row>
    <row r="3032" spans="3:13" ht="12.75" customHeight="1">
      <c r="C3032"/>
      <c r="M3032"/>
    </row>
    <row r="3033" spans="3:13" ht="12.75" customHeight="1">
      <c r="C3033"/>
      <c r="M3033"/>
    </row>
    <row r="3034" spans="3:13" ht="12.75" customHeight="1">
      <c r="C3034"/>
      <c r="M3034"/>
    </row>
    <row r="3035" spans="3:13" ht="12.75" customHeight="1">
      <c r="C3035"/>
      <c r="M3035"/>
    </row>
    <row r="3036" spans="3:13" ht="12.75" customHeight="1">
      <c r="C3036"/>
      <c r="M3036"/>
    </row>
    <row r="3037" spans="3:13" ht="12.75" customHeight="1">
      <c r="C3037"/>
      <c r="M3037"/>
    </row>
    <row r="3038" spans="3:13" ht="12.75" customHeight="1">
      <c r="C3038"/>
      <c r="M3038"/>
    </row>
    <row r="3039" spans="3:13" ht="12.75" customHeight="1">
      <c r="C3039"/>
      <c r="M3039"/>
    </row>
    <row r="3040" spans="3:13" ht="12.75" customHeight="1">
      <c r="C3040"/>
      <c r="M3040"/>
    </row>
    <row r="3041" spans="3:13" ht="12.75" customHeight="1">
      <c r="C3041"/>
      <c r="M3041"/>
    </row>
    <row r="3042" spans="3:13" ht="12.75" customHeight="1">
      <c r="C3042"/>
      <c r="M3042"/>
    </row>
    <row r="3043" spans="3:13" ht="12.75" customHeight="1">
      <c r="C3043"/>
      <c r="M3043"/>
    </row>
    <row r="3044" spans="3:13" ht="12.75" customHeight="1">
      <c r="C3044"/>
      <c r="M3044"/>
    </row>
    <row r="3045" spans="3:13" ht="12.75" customHeight="1">
      <c r="C3045"/>
      <c r="M3045"/>
    </row>
    <row r="3046" spans="3:13" ht="12.75" customHeight="1">
      <c r="C3046"/>
      <c r="M3046"/>
    </row>
    <row r="3047" spans="3:13" ht="12.75" customHeight="1">
      <c r="C3047"/>
      <c r="M3047"/>
    </row>
    <row r="3048" spans="3:13" ht="12.75" customHeight="1">
      <c r="C3048"/>
      <c r="M3048"/>
    </row>
    <row r="3049" spans="3:13" ht="12.75" customHeight="1">
      <c r="C3049"/>
      <c r="M3049"/>
    </row>
    <row r="3050" spans="3:13" ht="12.75" customHeight="1">
      <c r="C3050"/>
      <c r="M3050"/>
    </row>
    <row r="3051" spans="3:13" ht="12.75" customHeight="1">
      <c r="C3051"/>
      <c r="M3051"/>
    </row>
    <row r="3052" spans="3:13" ht="12.75" customHeight="1">
      <c r="C3052"/>
      <c r="M3052"/>
    </row>
    <row r="3053" spans="3:13" ht="12.75" customHeight="1">
      <c r="C3053"/>
      <c r="M3053"/>
    </row>
    <row r="3054" spans="3:13" ht="12.75" customHeight="1">
      <c r="C3054"/>
      <c r="M3054"/>
    </row>
    <row r="3055" spans="3:13" ht="12.75" customHeight="1">
      <c r="C3055"/>
      <c r="M3055"/>
    </row>
    <row r="3056" spans="3:13" ht="12.75" customHeight="1">
      <c r="C3056"/>
      <c r="M3056"/>
    </row>
    <row r="3057" spans="3:13" ht="12.75" customHeight="1">
      <c r="C3057"/>
      <c r="M3057"/>
    </row>
    <row r="3058" spans="3:13" ht="12.75" customHeight="1">
      <c r="C3058"/>
      <c r="M3058"/>
    </row>
    <row r="3059" spans="3:13" ht="12.75" customHeight="1">
      <c r="C3059"/>
      <c r="M3059"/>
    </row>
    <row r="3060" spans="3:13" ht="12.75" customHeight="1">
      <c r="C3060"/>
      <c r="M3060"/>
    </row>
    <row r="3061" spans="3:13" ht="12.75" customHeight="1">
      <c r="C3061"/>
      <c r="M3061"/>
    </row>
    <row r="3062" spans="3:13" ht="12.75" customHeight="1">
      <c r="C3062"/>
      <c r="M3062"/>
    </row>
    <row r="3063" spans="3:13" ht="12.75" customHeight="1">
      <c r="C3063"/>
      <c r="M3063"/>
    </row>
    <row r="3064" spans="3:13" ht="12.75" customHeight="1">
      <c r="C3064"/>
      <c r="M3064"/>
    </row>
    <row r="3065" spans="3:13" ht="12.75" customHeight="1">
      <c r="C3065"/>
      <c r="M3065"/>
    </row>
    <row r="3066" spans="3:13" ht="12.75" customHeight="1">
      <c r="C3066"/>
      <c r="M3066"/>
    </row>
    <row r="3067" spans="3:13" ht="12.75" customHeight="1">
      <c r="C3067"/>
      <c r="M3067"/>
    </row>
    <row r="3068" spans="3:13" ht="12.75" customHeight="1">
      <c r="C3068"/>
      <c r="M3068"/>
    </row>
    <row r="3069" spans="3:13" ht="12.75" customHeight="1">
      <c r="C3069"/>
      <c r="M3069"/>
    </row>
    <row r="3070" spans="3:13" ht="12.75" customHeight="1">
      <c r="C3070"/>
      <c r="M3070"/>
    </row>
    <row r="3071" spans="3:13" ht="12.75" customHeight="1">
      <c r="C3071"/>
      <c r="M3071"/>
    </row>
    <row r="3072" spans="3:13" ht="12.75" customHeight="1">
      <c r="C3072"/>
      <c r="M3072"/>
    </row>
    <row r="3073" spans="3:13" ht="12.75" customHeight="1">
      <c r="C3073"/>
      <c r="M3073"/>
    </row>
    <row r="3074" spans="3:13" ht="12.75" customHeight="1">
      <c r="C3074"/>
      <c r="M3074"/>
    </row>
    <row r="3075" spans="3:13" ht="12.75" customHeight="1">
      <c r="C3075"/>
      <c r="M3075"/>
    </row>
    <row r="3076" spans="3:13" ht="12.75" customHeight="1">
      <c r="C3076"/>
      <c r="M3076"/>
    </row>
    <row r="3077" spans="3:13" ht="12.75" customHeight="1">
      <c r="C3077"/>
      <c r="M3077"/>
    </row>
    <row r="3078" spans="3:13" ht="12.75" customHeight="1">
      <c r="C3078"/>
      <c r="M3078"/>
    </row>
    <row r="3079" spans="3:13" ht="12.75" customHeight="1">
      <c r="C3079"/>
      <c r="M3079"/>
    </row>
    <row r="3080" spans="3:13" ht="12.75" customHeight="1">
      <c r="C3080"/>
      <c r="M3080"/>
    </row>
    <row r="3081" spans="3:13" ht="12.75" customHeight="1">
      <c r="C3081"/>
      <c r="M3081"/>
    </row>
    <row r="3082" spans="3:13" ht="12.75" customHeight="1">
      <c r="C3082"/>
      <c r="M3082"/>
    </row>
    <row r="3083" spans="3:13" ht="12.75" customHeight="1">
      <c r="C3083"/>
      <c r="M3083"/>
    </row>
    <row r="3084" spans="3:13" ht="12.75" customHeight="1">
      <c r="C3084"/>
      <c r="M3084"/>
    </row>
    <row r="3085" spans="3:13" ht="12.75" customHeight="1">
      <c r="C3085"/>
      <c r="M3085"/>
    </row>
    <row r="3086" spans="3:13" ht="12.75" customHeight="1">
      <c r="C3086"/>
      <c r="M3086"/>
    </row>
    <row r="3087" spans="3:13" ht="12.75" customHeight="1">
      <c r="C3087"/>
      <c r="M3087"/>
    </row>
    <row r="3088" spans="3:13" ht="12.75" customHeight="1">
      <c r="C3088"/>
      <c r="M3088"/>
    </row>
    <row r="3089" spans="3:13" ht="12.75" customHeight="1">
      <c r="C3089"/>
      <c r="M3089"/>
    </row>
    <row r="3090" spans="3:13" ht="12.75" customHeight="1">
      <c r="C3090"/>
      <c r="M3090"/>
    </row>
    <row r="3091" spans="3:13" ht="12.75" customHeight="1">
      <c r="C3091"/>
      <c r="M3091"/>
    </row>
    <row r="3092" spans="3:13" ht="12.75" customHeight="1">
      <c r="C3092"/>
      <c r="M3092"/>
    </row>
    <row r="3093" spans="3:13" ht="12.75" customHeight="1">
      <c r="C3093"/>
      <c r="M3093"/>
    </row>
    <row r="3094" spans="3:13" ht="12.75" customHeight="1">
      <c r="C3094"/>
      <c r="M3094"/>
    </row>
    <row r="3095" spans="3:13" ht="12.75" customHeight="1">
      <c r="C3095"/>
      <c r="M3095"/>
    </row>
    <row r="3096" spans="3:13" ht="12.75" customHeight="1">
      <c r="C3096"/>
      <c r="M3096"/>
    </row>
    <row r="3097" spans="3:13" ht="12.75" customHeight="1">
      <c r="C3097"/>
      <c r="M3097"/>
    </row>
    <row r="3098" spans="3:13" ht="12.75" customHeight="1">
      <c r="C3098"/>
      <c r="M3098"/>
    </row>
    <row r="3099" spans="3:13" ht="12.75" customHeight="1">
      <c r="C3099"/>
      <c r="M3099"/>
    </row>
    <row r="3100" spans="3:13" ht="12.75" customHeight="1">
      <c r="C3100"/>
      <c r="M3100"/>
    </row>
    <row r="3101" spans="3:13" ht="12.75" customHeight="1">
      <c r="C3101"/>
      <c r="M3101"/>
    </row>
    <row r="3102" spans="3:13" ht="12.75" customHeight="1">
      <c r="C3102"/>
      <c r="M3102"/>
    </row>
    <row r="3103" spans="3:13" ht="12.75" customHeight="1">
      <c r="C3103"/>
      <c r="M3103"/>
    </row>
    <row r="3104" spans="3:13" ht="12.75" customHeight="1">
      <c r="C3104"/>
      <c r="M3104"/>
    </row>
    <row r="3105" spans="3:13" ht="12.75" customHeight="1">
      <c r="C3105"/>
      <c r="M3105"/>
    </row>
    <row r="3106" spans="3:13" ht="12.75" customHeight="1">
      <c r="C3106"/>
      <c r="M3106"/>
    </row>
    <row r="3107" spans="3:13" ht="12.75" customHeight="1">
      <c r="C3107"/>
      <c r="M3107"/>
    </row>
    <row r="3108" spans="3:13" ht="12.75" customHeight="1">
      <c r="C3108"/>
      <c r="M3108"/>
    </row>
    <row r="3109" spans="3:13" ht="12.75" customHeight="1">
      <c r="C3109"/>
      <c r="M3109"/>
    </row>
    <row r="3110" spans="3:13" ht="12.75" customHeight="1">
      <c r="C3110"/>
      <c r="M3110"/>
    </row>
    <row r="3111" spans="3:13" ht="12.75" customHeight="1">
      <c r="C3111"/>
      <c r="M3111"/>
    </row>
    <row r="3112" spans="3:13" ht="12.75" customHeight="1">
      <c r="C3112"/>
      <c r="M3112"/>
    </row>
    <row r="3113" spans="3:13" ht="12.75" customHeight="1">
      <c r="C3113"/>
      <c r="M3113"/>
    </row>
    <row r="3114" spans="3:13" ht="12.75" customHeight="1">
      <c r="C3114"/>
      <c r="M3114"/>
    </row>
    <row r="3115" spans="3:13" ht="12.75" customHeight="1">
      <c r="C3115"/>
      <c r="M3115"/>
    </row>
    <row r="3116" spans="3:13" ht="12.75" customHeight="1">
      <c r="C3116"/>
      <c r="M3116"/>
    </row>
    <row r="3117" spans="3:13" ht="12.75" customHeight="1">
      <c r="C3117"/>
      <c r="M3117"/>
    </row>
    <row r="3118" spans="3:13" ht="12.75" customHeight="1">
      <c r="C3118"/>
      <c r="M3118"/>
    </row>
    <row r="3119" spans="3:13" ht="12.75" customHeight="1">
      <c r="C3119"/>
      <c r="M3119"/>
    </row>
    <row r="3120" spans="3:13" ht="12.75" customHeight="1">
      <c r="C3120"/>
      <c r="M3120"/>
    </row>
    <row r="3121" spans="3:13" ht="12.75" customHeight="1">
      <c r="C3121"/>
      <c r="M3121"/>
    </row>
    <row r="3122" spans="3:13" ht="12.75" customHeight="1">
      <c r="C3122"/>
      <c r="M3122"/>
    </row>
    <row r="3123" spans="3:13" ht="12.75" customHeight="1">
      <c r="C3123"/>
      <c r="M3123"/>
    </row>
    <row r="3124" spans="3:13" ht="12.75" customHeight="1">
      <c r="C3124"/>
      <c r="M3124"/>
    </row>
    <row r="3125" spans="3:13" ht="12.75" customHeight="1">
      <c r="C3125"/>
      <c r="M3125"/>
    </row>
    <row r="3126" spans="3:13" ht="12.75" customHeight="1">
      <c r="C3126"/>
      <c r="M3126"/>
    </row>
    <row r="3127" spans="3:13" ht="12.75" customHeight="1">
      <c r="C3127"/>
      <c r="M3127"/>
    </row>
    <row r="3128" spans="3:13" ht="12.75" customHeight="1">
      <c r="C3128"/>
      <c r="M3128"/>
    </row>
    <row r="3129" spans="3:13" ht="12.75" customHeight="1">
      <c r="C3129"/>
      <c r="M3129"/>
    </row>
    <row r="3130" spans="3:13" ht="12.75" customHeight="1">
      <c r="C3130"/>
      <c r="M3130"/>
    </row>
    <row r="3131" spans="3:13" ht="12.75" customHeight="1">
      <c r="C3131"/>
      <c r="M3131"/>
    </row>
    <row r="3132" spans="3:13" ht="12.75" customHeight="1">
      <c r="C3132"/>
      <c r="M3132"/>
    </row>
    <row r="3133" spans="3:13" ht="12.75" customHeight="1">
      <c r="C3133"/>
      <c r="M3133"/>
    </row>
    <row r="3134" spans="3:13" ht="12.75" customHeight="1">
      <c r="C3134"/>
      <c r="M3134"/>
    </row>
    <row r="3135" spans="3:13" ht="12.75" customHeight="1">
      <c r="C3135"/>
      <c r="M3135"/>
    </row>
    <row r="3136" spans="3:13" ht="12.75" customHeight="1">
      <c r="C3136"/>
      <c r="M3136"/>
    </row>
    <row r="3137" spans="3:13" ht="12.75" customHeight="1">
      <c r="C3137"/>
      <c r="M3137"/>
    </row>
    <row r="3138" spans="3:13" ht="12.75" customHeight="1">
      <c r="C3138"/>
      <c r="M3138"/>
    </row>
    <row r="3139" spans="3:13" ht="12.75" customHeight="1">
      <c r="C3139"/>
      <c r="M3139"/>
    </row>
    <row r="3140" spans="3:13" ht="12.75" customHeight="1">
      <c r="C3140"/>
      <c r="M3140"/>
    </row>
    <row r="3141" spans="3:13" ht="12.75" customHeight="1">
      <c r="C3141"/>
      <c r="M3141"/>
    </row>
    <row r="3142" spans="3:13" ht="12.75" customHeight="1">
      <c r="C3142"/>
      <c r="M3142"/>
    </row>
    <row r="3143" spans="3:13" ht="12.75" customHeight="1">
      <c r="C3143"/>
      <c r="M3143"/>
    </row>
    <row r="3144" spans="3:13" ht="12.75" customHeight="1">
      <c r="C3144"/>
      <c r="M3144"/>
    </row>
    <row r="3145" spans="3:13" ht="12.75" customHeight="1">
      <c r="C3145"/>
      <c r="M3145"/>
    </row>
    <row r="3146" spans="3:13" ht="12.75" customHeight="1">
      <c r="C3146"/>
      <c r="M3146"/>
    </row>
    <row r="3147" spans="3:13" ht="12.75" customHeight="1">
      <c r="C3147"/>
      <c r="M3147"/>
    </row>
    <row r="3148" spans="3:13" ht="12.75" customHeight="1">
      <c r="C3148"/>
      <c r="M3148"/>
    </row>
    <row r="3149" spans="3:13" ht="12.75" customHeight="1">
      <c r="C3149"/>
      <c r="M3149"/>
    </row>
    <row r="3150" spans="3:13" ht="12.75" customHeight="1">
      <c r="C3150"/>
      <c r="M3150"/>
    </row>
    <row r="3151" spans="3:13" ht="12.75" customHeight="1">
      <c r="C3151"/>
      <c r="M3151"/>
    </row>
    <row r="3152" spans="3:13" ht="12.75" customHeight="1">
      <c r="C3152"/>
      <c r="M3152"/>
    </row>
    <row r="3153" spans="3:13" ht="12.75" customHeight="1">
      <c r="C3153"/>
      <c r="M3153"/>
    </row>
    <row r="3154" spans="3:13" ht="12.75" customHeight="1">
      <c r="C3154"/>
      <c r="M3154"/>
    </row>
    <row r="3155" spans="3:13" ht="12.75" customHeight="1">
      <c r="C3155"/>
      <c r="M3155"/>
    </row>
    <row r="3156" spans="3:13" ht="12.75" customHeight="1">
      <c r="C3156"/>
      <c r="M3156"/>
    </row>
    <row r="3157" spans="3:13" ht="12.75" customHeight="1">
      <c r="C3157"/>
      <c r="M3157"/>
    </row>
    <row r="3158" spans="3:13" ht="12.75" customHeight="1">
      <c r="C3158"/>
      <c r="M3158"/>
    </row>
    <row r="3159" spans="3:13" ht="12.75" customHeight="1">
      <c r="C3159"/>
      <c r="M3159"/>
    </row>
    <row r="3160" spans="3:13" ht="12.75" customHeight="1">
      <c r="C3160"/>
      <c r="M3160"/>
    </row>
    <row r="3161" spans="3:13" ht="12.75" customHeight="1">
      <c r="C3161"/>
      <c r="M3161"/>
    </row>
    <row r="3162" spans="3:13" ht="12.75" customHeight="1">
      <c r="C3162"/>
      <c r="M3162"/>
    </row>
    <row r="3163" spans="3:13" ht="12.75" customHeight="1">
      <c r="C3163"/>
      <c r="M3163"/>
    </row>
    <row r="3164" spans="3:13" ht="12.75" customHeight="1">
      <c r="C3164"/>
      <c r="M3164"/>
    </row>
    <row r="3165" spans="3:13" ht="12.75" customHeight="1">
      <c r="C3165"/>
      <c r="M3165"/>
    </row>
    <row r="3166" spans="3:13" ht="12.75" customHeight="1">
      <c r="C3166"/>
      <c r="M3166"/>
    </row>
    <row r="3167" spans="3:13" ht="12.75" customHeight="1">
      <c r="C3167"/>
      <c r="M3167"/>
    </row>
    <row r="3168" spans="3:13" ht="12.75" customHeight="1">
      <c r="C3168"/>
      <c r="M3168"/>
    </row>
    <row r="3169" spans="3:13" ht="12.75" customHeight="1">
      <c r="C3169"/>
      <c r="M3169"/>
    </row>
    <row r="3170" spans="3:13" ht="12.75" customHeight="1">
      <c r="C3170"/>
      <c r="M3170"/>
    </row>
    <row r="3171" spans="3:13" ht="12.75" customHeight="1">
      <c r="C3171"/>
      <c r="M3171"/>
    </row>
    <row r="3172" spans="3:13" ht="12.75" customHeight="1">
      <c r="C3172"/>
      <c r="M3172"/>
    </row>
    <row r="3173" spans="3:13" ht="12.75" customHeight="1">
      <c r="C3173"/>
      <c r="M3173"/>
    </row>
    <row r="3174" spans="3:13" ht="12.75" customHeight="1">
      <c r="C3174"/>
      <c r="M3174"/>
    </row>
    <row r="3175" spans="3:13" ht="12.75" customHeight="1">
      <c r="C3175"/>
      <c r="M3175"/>
    </row>
    <row r="3176" spans="3:13" ht="12.75" customHeight="1">
      <c r="C3176"/>
      <c r="M3176"/>
    </row>
    <row r="3177" spans="3:13" ht="12.75" customHeight="1">
      <c r="C3177"/>
      <c r="M3177"/>
    </row>
    <row r="3178" spans="3:13" ht="12.75" customHeight="1">
      <c r="C3178"/>
      <c r="M3178"/>
    </row>
    <row r="3179" spans="3:13" ht="12.75" customHeight="1">
      <c r="C3179"/>
      <c r="M3179"/>
    </row>
    <row r="3180" spans="3:13" ht="12.75" customHeight="1">
      <c r="C3180"/>
      <c r="M3180"/>
    </row>
    <row r="3181" spans="3:13" ht="12.75" customHeight="1">
      <c r="C3181"/>
      <c r="M3181"/>
    </row>
    <row r="3182" spans="3:13" ht="12.75" customHeight="1">
      <c r="C3182"/>
      <c r="M3182"/>
    </row>
    <row r="3183" spans="3:13" ht="12.75" customHeight="1">
      <c r="C3183"/>
      <c r="M3183"/>
    </row>
    <row r="3184" spans="3:13" ht="12.75" customHeight="1">
      <c r="C3184"/>
      <c r="M3184"/>
    </row>
    <row r="3185" spans="3:13" ht="12.75" customHeight="1">
      <c r="C3185"/>
      <c r="M3185"/>
    </row>
    <row r="3186" spans="3:13" ht="12.75" customHeight="1">
      <c r="C3186"/>
      <c r="M3186"/>
    </row>
    <row r="3187" spans="3:13" ht="12.75" customHeight="1">
      <c r="C3187"/>
      <c r="M3187"/>
    </row>
    <row r="3188" spans="3:13" ht="12.75" customHeight="1">
      <c r="C3188"/>
      <c r="M3188"/>
    </row>
    <row r="3189" spans="3:13" ht="12.75" customHeight="1">
      <c r="C3189"/>
      <c r="M3189"/>
    </row>
    <row r="3190" spans="3:13" ht="12.75" customHeight="1">
      <c r="C3190"/>
      <c r="M3190"/>
    </row>
    <row r="3191" spans="3:13" ht="12.75" customHeight="1">
      <c r="C3191"/>
      <c r="M3191"/>
    </row>
    <row r="3192" spans="3:13" ht="12.75" customHeight="1">
      <c r="C3192"/>
      <c r="M3192"/>
    </row>
    <row r="3193" spans="3:13" ht="12.75" customHeight="1">
      <c r="C3193"/>
      <c r="M3193"/>
    </row>
    <row r="3194" spans="3:13" ht="12.75" customHeight="1">
      <c r="C3194"/>
      <c r="M3194"/>
    </row>
    <row r="3195" spans="3:13" ht="12.75" customHeight="1">
      <c r="C3195"/>
      <c r="M3195"/>
    </row>
    <row r="3196" spans="3:13" ht="12.75" customHeight="1">
      <c r="C3196"/>
      <c r="M3196"/>
    </row>
    <row r="3197" spans="3:13" ht="12.75" customHeight="1">
      <c r="C3197"/>
      <c r="M3197"/>
    </row>
    <row r="3198" spans="3:13" ht="12.75" customHeight="1">
      <c r="C3198"/>
      <c r="M3198"/>
    </row>
    <row r="3199" spans="3:13" ht="12.75" customHeight="1">
      <c r="C3199"/>
      <c r="M3199"/>
    </row>
    <row r="3200" spans="3:13" ht="12.75" customHeight="1">
      <c r="C3200"/>
      <c r="M3200"/>
    </row>
    <row r="3201" spans="3:13" ht="12.75" customHeight="1">
      <c r="C3201"/>
      <c r="M3201"/>
    </row>
    <row r="3202" spans="3:13" ht="12.75" customHeight="1">
      <c r="C3202"/>
      <c r="M3202"/>
    </row>
    <row r="3203" spans="3:13" ht="12.75" customHeight="1">
      <c r="C3203"/>
      <c r="M3203"/>
    </row>
    <row r="3204" spans="3:13" ht="12.75" customHeight="1">
      <c r="C3204"/>
      <c r="M3204"/>
    </row>
    <row r="3205" spans="3:13" ht="12.75" customHeight="1">
      <c r="C3205"/>
      <c r="M3205"/>
    </row>
    <row r="3206" spans="3:13" ht="12.75" customHeight="1">
      <c r="C3206"/>
      <c r="M3206"/>
    </row>
    <row r="3207" spans="3:13" ht="12.75" customHeight="1">
      <c r="C3207"/>
      <c r="M3207"/>
    </row>
    <row r="3208" spans="3:13" ht="12.75" customHeight="1">
      <c r="C3208"/>
      <c r="M3208"/>
    </row>
    <row r="3209" spans="3:13" ht="12.75" customHeight="1">
      <c r="C3209"/>
      <c r="M3209"/>
    </row>
    <row r="3210" spans="3:13" ht="12.75" customHeight="1">
      <c r="C3210"/>
      <c r="M3210"/>
    </row>
    <row r="3211" spans="3:13" ht="12.75" customHeight="1">
      <c r="C3211"/>
      <c r="M3211"/>
    </row>
    <row r="3212" spans="3:13" ht="12.75" customHeight="1">
      <c r="C3212"/>
      <c r="M3212"/>
    </row>
    <row r="3213" spans="3:13" ht="12.75" customHeight="1">
      <c r="C3213"/>
      <c r="M3213"/>
    </row>
    <row r="3214" spans="3:13" ht="12.75" customHeight="1">
      <c r="C3214"/>
      <c r="M3214"/>
    </row>
    <row r="3215" spans="3:13" ht="12.75" customHeight="1">
      <c r="C3215"/>
      <c r="M3215"/>
    </row>
    <row r="3216" spans="3:13" ht="12.75" customHeight="1">
      <c r="C3216"/>
      <c r="M3216"/>
    </row>
    <row r="3217" spans="3:13" ht="12.75" customHeight="1">
      <c r="C3217"/>
      <c r="M3217"/>
    </row>
    <row r="3218" spans="3:13" ht="12.75" customHeight="1">
      <c r="C3218"/>
      <c r="M3218"/>
    </row>
    <row r="3219" spans="3:13" ht="12.75" customHeight="1">
      <c r="C3219"/>
      <c r="M3219"/>
    </row>
    <row r="3220" spans="3:13" ht="12.75" customHeight="1">
      <c r="C3220"/>
      <c r="M3220"/>
    </row>
    <row r="3221" spans="3:13" ht="12.75" customHeight="1">
      <c r="C3221"/>
      <c r="M3221"/>
    </row>
    <row r="3222" spans="3:13" ht="12.75" customHeight="1">
      <c r="C3222"/>
      <c r="M3222"/>
    </row>
    <row r="3223" spans="3:13" ht="12.75" customHeight="1">
      <c r="C3223"/>
      <c r="M3223"/>
    </row>
    <row r="3224" spans="3:13" ht="12.75" customHeight="1">
      <c r="C3224"/>
      <c r="M3224"/>
    </row>
    <row r="3225" spans="3:13" ht="12.75" customHeight="1">
      <c r="C3225"/>
      <c r="M3225"/>
    </row>
    <row r="3226" spans="3:13" ht="12.75" customHeight="1">
      <c r="C3226"/>
      <c r="M3226"/>
    </row>
    <row r="3227" spans="3:13" ht="12.75" customHeight="1">
      <c r="C3227"/>
      <c r="M3227"/>
    </row>
    <row r="3228" spans="3:13" ht="12.75" customHeight="1">
      <c r="C3228"/>
      <c r="M3228"/>
    </row>
    <row r="3229" spans="3:13" ht="12.75" customHeight="1">
      <c r="C3229"/>
      <c r="M3229"/>
    </row>
    <row r="3230" spans="3:13" ht="12.75" customHeight="1">
      <c r="C3230"/>
      <c r="M3230"/>
    </row>
    <row r="3231" spans="3:13" ht="12.75" customHeight="1">
      <c r="C3231"/>
      <c r="M3231"/>
    </row>
    <row r="3232" spans="3:13" ht="12.75" customHeight="1">
      <c r="C3232"/>
      <c r="M3232"/>
    </row>
    <row r="3233" spans="3:13" ht="12.75" customHeight="1">
      <c r="C3233"/>
      <c r="M3233"/>
    </row>
    <row r="3234" spans="3:13" ht="12.75" customHeight="1">
      <c r="C3234"/>
      <c r="M3234"/>
    </row>
    <row r="3235" spans="3:13" ht="12.75" customHeight="1">
      <c r="C3235"/>
      <c r="M3235"/>
    </row>
    <row r="3236" spans="3:13" ht="12.75" customHeight="1">
      <c r="C3236"/>
      <c r="M3236"/>
    </row>
    <row r="3237" spans="3:13" ht="12.75" customHeight="1">
      <c r="C3237"/>
      <c r="M3237"/>
    </row>
    <row r="3238" spans="3:13" ht="12.75" customHeight="1">
      <c r="C3238"/>
      <c r="M3238"/>
    </row>
    <row r="3239" spans="3:13" ht="12.75" customHeight="1">
      <c r="C3239"/>
      <c r="M3239"/>
    </row>
    <row r="3240" spans="3:13" ht="12.75" customHeight="1">
      <c r="C3240"/>
      <c r="M3240"/>
    </row>
    <row r="3241" spans="3:13" ht="12.75" customHeight="1">
      <c r="C3241"/>
      <c r="M3241"/>
    </row>
    <row r="3242" spans="3:13" ht="12.75" customHeight="1">
      <c r="C3242"/>
      <c r="M3242"/>
    </row>
    <row r="3243" spans="3:13" ht="12.75" customHeight="1">
      <c r="C3243"/>
      <c r="M3243"/>
    </row>
    <row r="3244" spans="3:13" ht="12.75" customHeight="1">
      <c r="C3244"/>
      <c r="M3244"/>
    </row>
    <row r="3245" spans="3:13" ht="12.75" customHeight="1">
      <c r="C3245"/>
      <c r="M3245"/>
    </row>
    <row r="3246" spans="3:13" ht="12.75" customHeight="1">
      <c r="C3246"/>
      <c r="M3246"/>
    </row>
    <row r="3247" spans="3:13" ht="12.75" customHeight="1">
      <c r="C3247"/>
      <c r="M3247"/>
    </row>
    <row r="3248" spans="3:13" ht="12.75" customHeight="1">
      <c r="C3248"/>
      <c r="M3248"/>
    </row>
    <row r="3249" spans="3:13" ht="12.75" customHeight="1">
      <c r="C3249"/>
      <c r="M3249"/>
    </row>
    <row r="3250" spans="3:13" ht="12.75" customHeight="1">
      <c r="C3250"/>
      <c r="M3250"/>
    </row>
    <row r="3251" spans="3:13" ht="12.75" customHeight="1">
      <c r="C3251"/>
      <c r="M3251"/>
    </row>
    <row r="3252" spans="3:13" ht="12.75" customHeight="1">
      <c r="C3252"/>
      <c r="M3252"/>
    </row>
    <row r="3253" spans="3:13" ht="12.75" customHeight="1">
      <c r="C3253"/>
      <c r="M3253"/>
    </row>
    <row r="3254" spans="3:13" ht="12.75" customHeight="1">
      <c r="C3254"/>
      <c r="M3254"/>
    </row>
    <row r="3255" spans="3:13" ht="12.75" customHeight="1">
      <c r="C3255"/>
      <c r="M3255"/>
    </row>
    <row r="3256" spans="3:13" ht="12.75" customHeight="1">
      <c r="C3256"/>
      <c r="M3256"/>
    </row>
    <row r="3257" spans="3:13" ht="12.75" customHeight="1">
      <c r="C3257"/>
      <c r="M3257"/>
    </row>
    <row r="3258" spans="3:13" ht="12.75" customHeight="1">
      <c r="C3258"/>
      <c r="M3258"/>
    </row>
    <row r="3259" spans="3:13" ht="12.75" customHeight="1">
      <c r="C3259"/>
      <c r="M3259"/>
    </row>
    <row r="3260" spans="3:13" ht="12.75" customHeight="1">
      <c r="C3260"/>
      <c r="M3260"/>
    </row>
    <row r="3261" spans="3:13" ht="12.75" customHeight="1">
      <c r="C3261"/>
      <c r="M3261"/>
    </row>
    <row r="3262" spans="3:13" ht="12.75" customHeight="1">
      <c r="C3262"/>
      <c r="M3262"/>
    </row>
    <row r="3263" spans="3:13" ht="12.75" customHeight="1">
      <c r="C3263"/>
      <c r="M3263"/>
    </row>
    <row r="3264" spans="3:13" ht="12.75" customHeight="1">
      <c r="C3264"/>
      <c r="M3264"/>
    </row>
    <row r="3265" spans="3:13" ht="12.75" customHeight="1">
      <c r="C3265"/>
      <c r="M3265"/>
    </row>
    <row r="3266" spans="3:13" ht="12.75" customHeight="1">
      <c r="C3266"/>
      <c r="M3266"/>
    </row>
    <row r="3267" spans="3:13" ht="12.75" customHeight="1">
      <c r="C3267"/>
      <c r="M3267"/>
    </row>
    <row r="3268" spans="3:13" ht="12.75" customHeight="1">
      <c r="C3268"/>
      <c r="M3268"/>
    </row>
    <row r="3269" spans="3:13" ht="12.75" customHeight="1">
      <c r="C3269"/>
      <c r="M3269"/>
    </row>
    <row r="3270" spans="3:13" ht="12.75" customHeight="1">
      <c r="C3270"/>
      <c r="M3270"/>
    </row>
    <row r="3271" spans="3:13" ht="12.75" customHeight="1">
      <c r="C3271"/>
      <c r="M3271"/>
    </row>
    <row r="3272" spans="3:13" ht="12.75" customHeight="1">
      <c r="C3272"/>
      <c r="M3272"/>
    </row>
    <row r="3273" spans="3:13" ht="12.75" customHeight="1">
      <c r="C3273"/>
      <c r="M3273"/>
    </row>
    <row r="3274" spans="3:13" ht="12.75" customHeight="1">
      <c r="C3274"/>
      <c r="M3274"/>
    </row>
    <row r="3275" spans="3:13" ht="12.75" customHeight="1">
      <c r="C3275"/>
      <c r="M3275"/>
    </row>
    <row r="3276" spans="3:13" ht="12.75" customHeight="1">
      <c r="C3276"/>
      <c r="M3276"/>
    </row>
    <row r="3277" spans="3:13" ht="12.75" customHeight="1">
      <c r="C3277"/>
      <c r="M3277"/>
    </row>
    <row r="3278" spans="3:13" ht="12.75" customHeight="1">
      <c r="C3278"/>
      <c r="M3278"/>
    </row>
    <row r="3279" spans="3:13" ht="12.75" customHeight="1">
      <c r="C3279"/>
      <c r="M3279"/>
    </row>
    <row r="3280" spans="3:13" ht="12.75" customHeight="1">
      <c r="C3280"/>
      <c r="M3280"/>
    </row>
    <row r="3281" spans="3:13" ht="12.75" customHeight="1">
      <c r="C3281"/>
      <c r="M3281"/>
    </row>
    <row r="3282" spans="3:13" ht="12.75" customHeight="1">
      <c r="C3282"/>
      <c r="M3282"/>
    </row>
    <row r="3283" spans="3:13" ht="12.75" customHeight="1">
      <c r="C3283"/>
      <c r="M3283"/>
    </row>
    <row r="3284" spans="3:13" ht="12.75" customHeight="1">
      <c r="C3284"/>
      <c r="M3284"/>
    </row>
    <row r="3285" spans="3:13" ht="12.75" customHeight="1">
      <c r="C3285"/>
      <c r="M3285"/>
    </row>
    <row r="3286" spans="3:13" ht="12.75" customHeight="1">
      <c r="C3286"/>
      <c r="M3286"/>
    </row>
    <row r="3287" spans="3:13" ht="12.75" customHeight="1">
      <c r="C3287"/>
      <c r="M3287"/>
    </row>
    <row r="3288" spans="3:13" ht="12.75" customHeight="1">
      <c r="C3288"/>
      <c r="M3288"/>
    </row>
    <row r="3289" spans="3:13" ht="12.75" customHeight="1">
      <c r="C3289"/>
      <c r="M3289"/>
    </row>
    <row r="3290" spans="3:13" ht="12.75" customHeight="1">
      <c r="C3290"/>
      <c r="M3290"/>
    </row>
    <row r="3291" spans="3:13" ht="12.75" customHeight="1">
      <c r="C3291"/>
      <c r="M3291"/>
    </row>
    <row r="3292" spans="3:13" ht="12.75" customHeight="1">
      <c r="C3292"/>
      <c r="M3292"/>
    </row>
    <row r="3293" spans="3:13" ht="12.75" customHeight="1">
      <c r="C3293"/>
      <c r="M3293"/>
    </row>
    <row r="3294" spans="3:13" ht="12.75" customHeight="1">
      <c r="C3294"/>
      <c r="M3294"/>
    </row>
    <row r="3295" spans="3:13" ht="12.75" customHeight="1">
      <c r="C3295"/>
      <c r="M3295"/>
    </row>
    <row r="3296" spans="3:13" ht="12.75" customHeight="1">
      <c r="C3296"/>
      <c r="M3296"/>
    </row>
    <row r="3297" spans="3:13" ht="12.75" customHeight="1">
      <c r="C3297"/>
      <c r="M3297"/>
    </row>
    <row r="3298" spans="3:13" ht="12.75" customHeight="1">
      <c r="C3298"/>
      <c r="M3298"/>
    </row>
    <row r="3299" spans="3:13" ht="12.75" customHeight="1">
      <c r="C3299"/>
      <c r="M3299"/>
    </row>
    <row r="3300" spans="3:13" ht="12.75" customHeight="1">
      <c r="C3300"/>
      <c r="M3300"/>
    </row>
    <row r="3301" spans="3:13" ht="12.75" customHeight="1">
      <c r="C3301"/>
      <c r="M3301"/>
    </row>
    <row r="3302" spans="3:13" ht="12.75" customHeight="1">
      <c r="C3302"/>
      <c r="M3302"/>
    </row>
    <row r="3303" spans="3:13" ht="12.75" customHeight="1">
      <c r="C3303"/>
      <c r="M3303"/>
    </row>
    <row r="3304" spans="3:13" ht="12.75" customHeight="1">
      <c r="C3304"/>
      <c r="M3304"/>
    </row>
    <row r="3305" spans="3:13" ht="12.75" customHeight="1">
      <c r="C3305"/>
      <c r="M3305"/>
    </row>
    <row r="3306" spans="3:13" ht="12.75" customHeight="1">
      <c r="C3306"/>
      <c r="M3306"/>
    </row>
    <row r="3307" spans="3:13" ht="12.75" customHeight="1">
      <c r="C3307"/>
      <c r="M3307"/>
    </row>
    <row r="3308" spans="3:13" ht="12.75" customHeight="1">
      <c r="C3308"/>
      <c r="M3308"/>
    </row>
    <row r="3309" spans="3:13" ht="12.75" customHeight="1">
      <c r="C3309"/>
      <c r="M3309"/>
    </row>
    <row r="3310" spans="3:13" ht="12.75" customHeight="1">
      <c r="C3310"/>
      <c r="M3310"/>
    </row>
    <row r="3311" spans="3:13" ht="12.75" customHeight="1">
      <c r="C3311"/>
      <c r="M3311"/>
    </row>
    <row r="3312" spans="3:13" ht="12.75" customHeight="1">
      <c r="C3312"/>
      <c r="M3312"/>
    </row>
    <row r="3313" spans="3:13" ht="12.75" customHeight="1">
      <c r="C3313"/>
      <c r="M3313"/>
    </row>
    <row r="3314" spans="3:13" ht="12.75" customHeight="1">
      <c r="C3314"/>
      <c r="M3314"/>
    </row>
    <row r="3315" spans="3:13" ht="12.75" customHeight="1">
      <c r="C3315"/>
      <c r="M3315"/>
    </row>
    <row r="3316" spans="3:13" ht="12.75" customHeight="1">
      <c r="C3316"/>
      <c r="M3316"/>
    </row>
    <row r="3317" spans="3:13" ht="12.75" customHeight="1">
      <c r="C3317"/>
      <c r="M3317"/>
    </row>
    <row r="3318" spans="3:13" ht="12.75" customHeight="1">
      <c r="C3318"/>
      <c r="M3318"/>
    </row>
    <row r="3319" spans="3:13" ht="12.75" customHeight="1">
      <c r="C3319"/>
      <c r="M3319"/>
    </row>
    <row r="3320" spans="3:13" ht="12.75" customHeight="1">
      <c r="C3320"/>
      <c r="M3320"/>
    </row>
    <row r="3321" spans="3:13" ht="12.75" customHeight="1">
      <c r="C3321"/>
      <c r="M3321"/>
    </row>
    <row r="3322" spans="3:13" ht="12.75" customHeight="1">
      <c r="C3322"/>
      <c r="M3322"/>
    </row>
    <row r="3323" spans="3:13" ht="12.75" customHeight="1">
      <c r="C3323"/>
      <c r="M3323"/>
    </row>
    <row r="3324" spans="3:13" ht="12.75" customHeight="1">
      <c r="C3324"/>
      <c r="M3324"/>
    </row>
    <row r="3325" spans="3:13" ht="12.75" customHeight="1">
      <c r="C3325"/>
      <c r="M3325"/>
    </row>
    <row r="3326" spans="3:13" ht="12.75" customHeight="1">
      <c r="C3326"/>
      <c r="M3326"/>
    </row>
    <row r="3327" spans="3:13" ht="12.75" customHeight="1">
      <c r="C3327"/>
      <c r="M3327"/>
    </row>
    <row r="3328" spans="3:13" ht="12.75" customHeight="1">
      <c r="C3328"/>
      <c r="M3328"/>
    </row>
    <row r="3329" spans="3:13" ht="12.75" customHeight="1">
      <c r="C3329"/>
      <c r="M3329"/>
    </row>
    <row r="3330" spans="3:13" ht="12.75" customHeight="1">
      <c r="C3330"/>
      <c r="M3330"/>
    </row>
    <row r="3331" spans="3:13" ht="12.75" customHeight="1">
      <c r="C3331"/>
      <c r="M3331"/>
    </row>
    <row r="3332" spans="3:13" ht="12.75" customHeight="1">
      <c r="C3332"/>
      <c r="M3332"/>
    </row>
    <row r="3333" spans="3:13" ht="12.75" customHeight="1">
      <c r="C3333"/>
      <c r="M3333"/>
    </row>
    <row r="3334" spans="3:13" ht="12.75" customHeight="1">
      <c r="C3334"/>
      <c r="M3334"/>
    </row>
    <row r="3335" spans="3:13" ht="12.75" customHeight="1">
      <c r="C3335"/>
      <c r="M3335"/>
    </row>
    <row r="3336" spans="3:13" ht="12.75" customHeight="1">
      <c r="C3336"/>
      <c r="M3336"/>
    </row>
    <row r="3337" spans="3:13" ht="12.75" customHeight="1">
      <c r="C3337"/>
      <c r="M3337"/>
    </row>
    <row r="3338" spans="3:13" ht="12.75" customHeight="1">
      <c r="C3338"/>
      <c r="M3338"/>
    </row>
    <row r="3339" spans="3:13" ht="12.75" customHeight="1">
      <c r="C3339"/>
      <c r="M3339"/>
    </row>
    <row r="3340" spans="3:13" ht="12.75" customHeight="1">
      <c r="C3340"/>
      <c r="M3340"/>
    </row>
    <row r="3341" spans="3:13" ht="12.75" customHeight="1">
      <c r="C3341"/>
      <c r="M3341"/>
    </row>
    <row r="3342" spans="3:13" ht="12.75" customHeight="1">
      <c r="C3342"/>
      <c r="M3342"/>
    </row>
    <row r="3343" spans="3:13" ht="12.75" customHeight="1">
      <c r="C3343"/>
      <c r="M3343"/>
    </row>
    <row r="3344" spans="3:13" ht="12.75" customHeight="1">
      <c r="C3344"/>
      <c r="M3344"/>
    </row>
    <row r="3345" spans="3:13" ht="12.75" customHeight="1">
      <c r="C3345"/>
      <c r="M3345"/>
    </row>
    <row r="3346" spans="3:13" ht="12.75" customHeight="1">
      <c r="C3346"/>
      <c r="M3346"/>
    </row>
    <row r="3347" spans="3:13" ht="12.75" customHeight="1">
      <c r="C3347"/>
      <c r="M3347"/>
    </row>
    <row r="3348" spans="3:13" ht="12.75" customHeight="1">
      <c r="C3348"/>
      <c r="M3348"/>
    </row>
    <row r="3349" spans="3:13" ht="12.75" customHeight="1">
      <c r="C3349"/>
      <c r="M3349"/>
    </row>
    <row r="3350" spans="3:13" ht="12.75" customHeight="1">
      <c r="C3350"/>
      <c r="M3350"/>
    </row>
    <row r="3351" spans="3:13" ht="12.75" customHeight="1">
      <c r="C3351"/>
      <c r="M3351"/>
    </row>
    <row r="3352" spans="3:13" ht="12.75" customHeight="1">
      <c r="C3352"/>
      <c r="M3352"/>
    </row>
    <row r="3353" spans="3:13" ht="12.75" customHeight="1">
      <c r="C3353"/>
      <c r="M3353"/>
    </row>
    <row r="3354" spans="3:13" ht="12.75" customHeight="1">
      <c r="C3354"/>
      <c r="M3354"/>
    </row>
    <row r="3355" spans="3:13" ht="12.75" customHeight="1">
      <c r="C3355"/>
      <c r="M3355"/>
    </row>
    <row r="3356" spans="3:13" ht="12.75" customHeight="1">
      <c r="C3356"/>
      <c r="M3356"/>
    </row>
    <row r="3357" spans="3:13" ht="12.75" customHeight="1">
      <c r="C3357"/>
      <c r="M3357"/>
    </row>
    <row r="3358" spans="3:13" ht="12.75" customHeight="1">
      <c r="C3358"/>
      <c r="M3358"/>
    </row>
    <row r="3359" spans="3:13" ht="12.75" customHeight="1">
      <c r="C3359"/>
      <c r="M3359"/>
    </row>
    <row r="3360" spans="3:13" ht="12.75" customHeight="1">
      <c r="C3360"/>
      <c r="M3360"/>
    </row>
    <row r="3361" spans="3:13" ht="12.75" customHeight="1">
      <c r="C3361"/>
      <c r="M3361"/>
    </row>
    <row r="3362" spans="3:13" ht="12.75" customHeight="1">
      <c r="C3362"/>
      <c r="M3362"/>
    </row>
    <row r="3363" spans="3:13" ht="12.75" customHeight="1">
      <c r="C3363"/>
      <c r="M3363"/>
    </row>
    <row r="3364" spans="3:13" ht="12.75" customHeight="1">
      <c r="C3364"/>
      <c r="M3364"/>
    </row>
    <row r="3365" spans="3:13" ht="12.75" customHeight="1">
      <c r="C3365"/>
      <c r="M3365"/>
    </row>
    <row r="3366" spans="3:13" ht="12.75" customHeight="1">
      <c r="C3366"/>
      <c r="M3366"/>
    </row>
    <row r="3367" spans="3:13" ht="12.75" customHeight="1">
      <c r="C3367"/>
      <c r="M3367"/>
    </row>
    <row r="3368" spans="3:13" ht="12.75" customHeight="1">
      <c r="C3368"/>
      <c r="M3368"/>
    </row>
    <row r="3369" spans="3:13" ht="12.75" customHeight="1">
      <c r="C3369"/>
      <c r="M3369"/>
    </row>
    <row r="3370" spans="3:13" ht="12.75" customHeight="1">
      <c r="C3370"/>
      <c r="M3370"/>
    </row>
    <row r="3371" spans="3:13" ht="12.75" customHeight="1">
      <c r="C3371"/>
      <c r="M3371"/>
    </row>
    <row r="3372" spans="3:13" ht="12.75" customHeight="1">
      <c r="C3372"/>
      <c r="M3372"/>
    </row>
    <row r="3373" spans="3:13" ht="12.75" customHeight="1">
      <c r="C3373"/>
      <c r="M3373"/>
    </row>
    <row r="3374" spans="3:13" ht="12.75" customHeight="1">
      <c r="C3374"/>
      <c r="M3374"/>
    </row>
    <row r="3375" spans="3:13" ht="12.75" customHeight="1">
      <c r="C3375"/>
      <c r="M3375"/>
    </row>
    <row r="3376" spans="3:13" ht="12.75" customHeight="1">
      <c r="C3376"/>
      <c r="M3376"/>
    </row>
    <row r="3377" spans="3:13" ht="12.75" customHeight="1">
      <c r="C3377"/>
      <c r="M3377"/>
    </row>
    <row r="3378" spans="3:13" ht="12.75" customHeight="1">
      <c r="C3378"/>
      <c r="M3378"/>
    </row>
    <row r="3379" spans="3:13" ht="12.75" customHeight="1">
      <c r="C3379"/>
      <c r="M3379"/>
    </row>
    <row r="3380" spans="3:13" ht="12.75" customHeight="1">
      <c r="C3380"/>
      <c r="M3380"/>
    </row>
    <row r="3381" spans="3:13" ht="12.75" customHeight="1">
      <c r="C3381"/>
      <c r="M3381"/>
    </row>
    <row r="3382" spans="3:13" ht="12.75" customHeight="1">
      <c r="C3382"/>
      <c r="M3382"/>
    </row>
    <row r="3383" spans="3:13" ht="12.75" customHeight="1">
      <c r="C3383"/>
      <c r="M3383"/>
    </row>
    <row r="3384" spans="3:13" ht="12.75" customHeight="1">
      <c r="C3384"/>
      <c r="M3384"/>
    </row>
    <row r="3385" spans="3:13" ht="12.75" customHeight="1">
      <c r="C3385"/>
      <c r="M3385"/>
    </row>
    <row r="3386" spans="3:13" ht="12.75" customHeight="1">
      <c r="C3386"/>
      <c r="M3386"/>
    </row>
    <row r="3387" spans="3:13" ht="12.75" customHeight="1">
      <c r="C3387"/>
      <c r="M3387"/>
    </row>
    <row r="3388" spans="3:13" ht="12.75" customHeight="1">
      <c r="C3388"/>
      <c r="M3388"/>
    </row>
    <row r="3389" spans="3:13" ht="12.75" customHeight="1">
      <c r="C3389"/>
      <c r="M3389"/>
    </row>
    <row r="3390" spans="3:13" ht="12.75" customHeight="1">
      <c r="C3390"/>
      <c r="M3390"/>
    </row>
    <row r="3391" spans="3:13" ht="12.75" customHeight="1">
      <c r="C3391"/>
      <c r="M3391"/>
    </row>
    <row r="3392" spans="3:13" ht="12.75" customHeight="1">
      <c r="C3392"/>
      <c r="M3392"/>
    </row>
    <row r="3393" spans="3:13" ht="12.75" customHeight="1">
      <c r="C3393"/>
      <c r="M3393"/>
    </row>
    <row r="3394" spans="3:13" ht="12.75" customHeight="1">
      <c r="C3394"/>
      <c r="M3394"/>
    </row>
    <row r="3395" spans="3:13" ht="12.75" customHeight="1">
      <c r="C3395"/>
      <c r="M3395"/>
    </row>
    <row r="3396" spans="3:13" ht="12.75" customHeight="1">
      <c r="C3396"/>
      <c r="M3396"/>
    </row>
    <row r="3397" spans="3:13" ht="12.75" customHeight="1">
      <c r="C3397"/>
      <c r="M3397"/>
    </row>
    <row r="3398" spans="3:13" ht="12.75" customHeight="1">
      <c r="C3398"/>
      <c r="M3398"/>
    </row>
    <row r="3399" spans="3:13" ht="12.75" customHeight="1">
      <c r="C3399"/>
      <c r="M3399"/>
    </row>
    <row r="3400" spans="3:13" ht="12.75" customHeight="1">
      <c r="C3400"/>
      <c r="M3400"/>
    </row>
    <row r="3401" spans="3:13" ht="12.75" customHeight="1">
      <c r="C3401"/>
      <c r="M3401"/>
    </row>
    <row r="3402" spans="3:13" ht="12.75" customHeight="1">
      <c r="C3402"/>
      <c r="M3402"/>
    </row>
    <row r="3403" spans="3:13" ht="12.75" customHeight="1">
      <c r="C3403"/>
      <c r="M3403"/>
    </row>
    <row r="3404" spans="3:13" ht="12.75" customHeight="1">
      <c r="C3404"/>
      <c r="M3404"/>
    </row>
    <row r="3405" spans="3:13" ht="12.75" customHeight="1">
      <c r="C3405"/>
      <c r="M3405"/>
    </row>
    <row r="3406" spans="3:13" ht="12.75" customHeight="1">
      <c r="C3406"/>
      <c r="M3406"/>
    </row>
    <row r="3407" spans="3:13" ht="12.75" customHeight="1">
      <c r="C3407"/>
      <c r="M3407"/>
    </row>
    <row r="3408" spans="3:13" ht="12.75" customHeight="1">
      <c r="C3408"/>
      <c r="M3408"/>
    </row>
    <row r="3409" spans="3:13" ht="12.75" customHeight="1">
      <c r="C3409"/>
      <c r="M3409"/>
    </row>
    <row r="3410" spans="3:13" ht="12.75" customHeight="1">
      <c r="C3410"/>
      <c r="M3410"/>
    </row>
    <row r="3411" spans="3:13" ht="12.75" customHeight="1">
      <c r="C3411"/>
      <c r="M3411"/>
    </row>
    <row r="3412" spans="3:13" ht="12.75" customHeight="1">
      <c r="C3412"/>
      <c r="M3412"/>
    </row>
    <row r="3413" spans="3:13" ht="12.75" customHeight="1">
      <c r="C3413"/>
      <c r="M3413"/>
    </row>
    <row r="3414" spans="3:13" ht="12.75" customHeight="1">
      <c r="C3414"/>
      <c r="M3414"/>
    </row>
    <row r="3415" spans="3:13" ht="12.75" customHeight="1">
      <c r="C3415"/>
      <c r="M3415"/>
    </row>
    <row r="3416" spans="3:13" ht="12.75" customHeight="1">
      <c r="C3416"/>
      <c r="M3416"/>
    </row>
    <row r="3417" spans="3:13" ht="12.75" customHeight="1">
      <c r="C3417"/>
      <c r="M3417"/>
    </row>
    <row r="3418" spans="3:13" ht="12.75" customHeight="1">
      <c r="C3418"/>
      <c r="M3418"/>
    </row>
    <row r="3419" spans="3:13" ht="12.75" customHeight="1">
      <c r="C3419"/>
      <c r="M3419"/>
    </row>
    <row r="3420" spans="3:13" ht="12.75" customHeight="1">
      <c r="C3420"/>
      <c r="M3420"/>
    </row>
    <row r="3421" spans="3:13" ht="12.75" customHeight="1">
      <c r="C3421"/>
      <c r="M3421"/>
    </row>
    <row r="3422" spans="3:13" ht="12.75" customHeight="1">
      <c r="C3422"/>
      <c r="M3422"/>
    </row>
    <row r="3423" spans="3:13" ht="12.75" customHeight="1">
      <c r="C3423"/>
      <c r="M3423"/>
    </row>
    <row r="3424" spans="3:13" ht="12.75" customHeight="1">
      <c r="C3424"/>
      <c r="M3424"/>
    </row>
    <row r="3425" spans="3:13" ht="12.75" customHeight="1">
      <c r="C3425"/>
      <c r="M3425"/>
    </row>
    <row r="3426" spans="3:13" ht="12.75" customHeight="1">
      <c r="C3426"/>
      <c r="M3426"/>
    </row>
    <row r="3427" spans="3:13" ht="12.75" customHeight="1">
      <c r="C3427"/>
      <c r="M3427"/>
    </row>
    <row r="3428" spans="3:13" ht="12.75" customHeight="1">
      <c r="C3428"/>
      <c r="M3428"/>
    </row>
    <row r="3429" spans="3:13" ht="12.75" customHeight="1">
      <c r="C3429"/>
      <c r="M3429"/>
    </row>
    <row r="3430" spans="3:13" ht="12.75" customHeight="1">
      <c r="C3430"/>
      <c r="M3430"/>
    </row>
    <row r="3431" spans="3:13" ht="12.75" customHeight="1">
      <c r="C3431"/>
      <c r="M3431"/>
    </row>
    <row r="3432" spans="3:13" ht="12.75" customHeight="1">
      <c r="C3432"/>
      <c r="M3432"/>
    </row>
    <row r="3433" spans="3:13" ht="12.75" customHeight="1">
      <c r="C3433"/>
      <c r="M3433"/>
    </row>
    <row r="3434" spans="3:13" ht="12.75" customHeight="1">
      <c r="C3434"/>
      <c r="M3434"/>
    </row>
    <row r="3435" spans="3:13" ht="12.75" customHeight="1">
      <c r="C3435"/>
      <c r="M3435"/>
    </row>
    <row r="3436" spans="3:13" ht="12.75" customHeight="1">
      <c r="C3436"/>
      <c r="M3436"/>
    </row>
    <row r="3437" spans="3:13" ht="12.75" customHeight="1">
      <c r="C3437"/>
      <c r="M3437"/>
    </row>
    <row r="3438" spans="3:13" ht="12.75" customHeight="1">
      <c r="C3438"/>
      <c r="M3438"/>
    </row>
    <row r="3439" spans="3:13" ht="12.75" customHeight="1">
      <c r="C3439"/>
      <c r="M3439"/>
    </row>
    <row r="3440" spans="3:13" ht="12.75" customHeight="1">
      <c r="C3440"/>
      <c r="M3440"/>
    </row>
    <row r="3441" spans="3:13" ht="12.75" customHeight="1">
      <c r="C3441"/>
      <c r="M3441"/>
    </row>
    <row r="3442" spans="3:13" ht="12.75" customHeight="1">
      <c r="C3442"/>
      <c r="M3442"/>
    </row>
    <row r="3443" spans="3:13" ht="12.75" customHeight="1">
      <c r="C3443"/>
      <c r="M3443"/>
    </row>
    <row r="3444" spans="3:13" ht="12.75" customHeight="1">
      <c r="C3444"/>
      <c r="M3444"/>
    </row>
    <row r="3445" spans="3:13" ht="12.75" customHeight="1">
      <c r="C3445"/>
      <c r="M3445"/>
    </row>
    <row r="3446" spans="3:13" ht="12.75" customHeight="1">
      <c r="C3446"/>
      <c r="M3446"/>
    </row>
    <row r="3447" spans="3:13" ht="12.75" customHeight="1">
      <c r="C3447"/>
      <c r="M3447"/>
    </row>
    <row r="3448" spans="3:13" ht="12.75" customHeight="1">
      <c r="C3448"/>
      <c r="M3448"/>
    </row>
    <row r="3449" spans="3:13" ht="12.75" customHeight="1">
      <c r="C3449"/>
      <c r="M3449"/>
    </row>
    <row r="3450" spans="3:13" ht="12.75" customHeight="1">
      <c r="C3450"/>
      <c r="M3450"/>
    </row>
    <row r="3451" spans="3:13" ht="12.75" customHeight="1">
      <c r="C3451"/>
      <c r="M3451"/>
    </row>
    <row r="3452" spans="3:13" ht="12.75" customHeight="1">
      <c r="C3452"/>
      <c r="M3452"/>
    </row>
    <row r="3453" spans="3:13" ht="12.75" customHeight="1">
      <c r="C3453"/>
      <c r="M3453"/>
    </row>
    <row r="3454" spans="3:13" ht="12.75" customHeight="1">
      <c r="C3454"/>
      <c r="M3454"/>
    </row>
    <row r="3455" spans="3:13" ht="12.75" customHeight="1">
      <c r="C3455"/>
      <c r="M3455"/>
    </row>
    <row r="3456" spans="3:13" ht="12.75" customHeight="1">
      <c r="C3456"/>
      <c r="M3456"/>
    </row>
    <row r="3457" spans="3:13" ht="12.75" customHeight="1">
      <c r="C3457"/>
      <c r="M3457"/>
    </row>
    <row r="3458" spans="3:13" ht="12.75" customHeight="1">
      <c r="C3458"/>
      <c r="M3458"/>
    </row>
    <row r="3459" spans="3:13" ht="12.75" customHeight="1">
      <c r="C3459"/>
      <c r="M3459"/>
    </row>
    <row r="3460" spans="3:13" ht="12.75" customHeight="1">
      <c r="C3460"/>
      <c r="M3460"/>
    </row>
    <row r="3461" spans="3:13" ht="12.75" customHeight="1">
      <c r="C3461"/>
      <c r="M3461"/>
    </row>
    <row r="3462" spans="3:13" ht="12.75" customHeight="1">
      <c r="C3462"/>
      <c r="M3462"/>
    </row>
    <row r="3463" spans="3:13" ht="12.75" customHeight="1">
      <c r="C3463"/>
      <c r="M3463"/>
    </row>
    <row r="3464" spans="3:13" ht="12.75" customHeight="1">
      <c r="C3464"/>
      <c r="M3464"/>
    </row>
    <row r="3465" spans="3:13" ht="12.75" customHeight="1">
      <c r="C3465"/>
      <c r="M3465"/>
    </row>
    <row r="3466" spans="3:13" ht="12.75" customHeight="1">
      <c r="C3466"/>
      <c r="M3466"/>
    </row>
    <row r="3467" spans="3:13" ht="12.75" customHeight="1">
      <c r="C3467"/>
      <c r="M3467"/>
    </row>
    <row r="3468" spans="3:13" ht="12.75" customHeight="1">
      <c r="C3468"/>
      <c r="M3468"/>
    </row>
    <row r="3469" spans="3:13" ht="12.75" customHeight="1">
      <c r="C3469"/>
      <c r="M3469"/>
    </row>
    <row r="3470" spans="3:13" ht="12.75" customHeight="1">
      <c r="C3470"/>
      <c r="M3470"/>
    </row>
    <row r="3471" spans="3:13" ht="12.75" customHeight="1">
      <c r="C3471"/>
      <c r="M3471"/>
    </row>
    <row r="3472" spans="3:13" ht="12.75" customHeight="1">
      <c r="C3472"/>
      <c r="M3472"/>
    </row>
    <row r="3473" spans="3:13" ht="12.75" customHeight="1">
      <c r="C3473"/>
      <c r="M3473"/>
    </row>
    <row r="3474" spans="3:13" ht="12.75" customHeight="1">
      <c r="C3474"/>
      <c r="M3474"/>
    </row>
    <row r="3475" spans="3:13" ht="12.75" customHeight="1">
      <c r="C3475"/>
      <c r="M3475"/>
    </row>
    <row r="3476" spans="3:13" ht="12.75" customHeight="1">
      <c r="C3476"/>
      <c r="M3476"/>
    </row>
    <row r="3477" spans="3:13" ht="12.75" customHeight="1">
      <c r="C3477"/>
      <c r="M3477"/>
    </row>
    <row r="3478" spans="3:13" ht="12.75" customHeight="1">
      <c r="C3478"/>
      <c r="M3478"/>
    </row>
    <row r="3479" spans="3:13" ht="12.75" customHeight="1">
      <c r="C3479"/>
      <c r="M3479"/>
    </row>
    <row r="3480" spans="3:13" ht="12.75" customHeight="1">
      <c r="C3480"/>
      <c r="M3480"/>
    </row>
    <row r="3481" spans="3:13" ht="12.75" customHeight="1">
      <c r="C3481"/>
      <c r="M3481"/>
    </row>
    <row r="3482" spans="3:13" ht="12.75" customHeight="1">
      <c r="C3482"/>
      <c r="M3482"/>
    </row>
    <row r="3483" spans="3:13" ht="12.75" customHeight="1">
      <c r="C3483"/>
      <c r="M3483"/>
    </row>
    <row r="3484" spans="3:13" ht="12.75" customHeight="1">
      <c r="C3484"/>
      <c r="M3484"/>
    </row>
    <row r="3485" spans="3:13" ht="12.75" customHeight="1">
      <c r="C3485"/>
      <c r="M3485"/>
    </row>
    <row r="3486" spans="3:13" ht="12.75" customHeight="1">
      <c r="C3486"/>
      <c r="M3486"/>
    </row>
    <row r="3487" spans="3:13" ht="12.75" customHeight="1">
      <c r="C3487"/>
      <c r="M3487"/>
    </row>
    <row r="3488" spans="3:13" ht="12.75" customHeight="1">
      <c r="C3488"/>
      <c r="M3488"/>
    </row>
    <row r="3489" spans="3:13" ht="12.75" customHeight="1">
      <c r="C3489"/>
      <c r="M3489"/>
    </row>
    <row r="3490" spans="3:13" ht="12.75" customHeight="1">
      <c r="C3490"/>
      <c r="M3490"/>
    </row>
    <row r="3491" spans="3:13" ht="12.75" customHeight="1">
      <c r="C3491"/>
      <c r="M3491"/>
    </row>
    <row r="3492" spans="3:13" ht="12.75" customHeight="1">
      <c r="C3492"/>
      <c r="M3492"/>
    </row>
    <row r="3493" spans="3:13" ht="12.75" customHeight="1">
      <c r="C3493"/>
      <c r="M3493"/>
    </row>
    <row r="3494" spans="3:13" ht="12.75" customHeight="1">
      <c r="C3494"/>
      <c r="M3494"/>
    </row>
    <row r="3495" spans="3:13" ht="12.75" customHeight="1">
      <c r="C3495"/>
      <c r="M3495"/>
    </row>
    <row r="3496" spans="3:13" ht="12.75" customHeight="1">
      <c r="C3496"/>
      <c r="M3496"/>
    </row>
    <row r="3497" spans="3:13" ht="12.75" customHeight="1">
      <c r="C3497"/>
      <c r="M3497"/>
    </row>
    <row r="3498" spans="3:13" ht="12.75" customHeight="1">
      <c r="C3498"/>
      <c r="M3498"/>
    </row>
    <row r="3499" spans="3:13" ht="12.75" customHeight="1">
      <c r="C3499"/>
      <c r="M3499"/>
    </row>
    <row r="3500" spans="3:13" ht="12.75" customHeight="1">
      <c r="C3500"/>
      <c r="M3500"/>
    </row>
    <row r="3501" spans="3:13" ht="12.75" customHeight="1">
      <c r="C3501"/>
      <c r="M3501"/>
    </row>
    <row r="3502" spans="3:13" ht="12.75" customHeight="1">
      <c r="C3502"/>
      <c r="M3502"/>
    </row>
    <row r="3503" spans="3:13" ht="12.75" customHeight="1">
      <c r="C3503"/>
      <c r="M3503"/>
    </row>
    <row r="3504" spans="3:13" ht="12.75" customHeight="1">
      <c r="C3504"/>
      <c r="M3504"/>
    </row>
    <row r="3505" spans="3:13" ht="12.75" customHeight="1">
      <c r="C3505"/>
      <c r="M3505"/>
    </row>
    <row r="3506" spans="3:13" ht="12.75" customHeight="1">
      <c r="C3506"/>
      <c r="M3506"/>
    </row>
    <row r="3507" spans="3:13" ht="12.75" customHeight="1">
      <c r="C3507"/>
      <c r="M3507"/>
    </row>
    <row r="3508" spans="3:13" ht="12.75" customHeight="1">
      <c r="C3508"/>
      <c r="M3508"/>
    </row>
    <row r="3509" spans="3:13" ht="12.75" customHeight="1">
      <c r="C3509"/>
      <c r="M3509"/>
    </row>
    <row r="3510" spans="3:13" ht="12.75" customHeight="1">
      <c r="C3510"/>
      <c r="M3510"/>
    </row>
    <row r="3511" spans="3:13" ht="12.75" customHeight="1">
      <c r="C3511"/>
      <c r="M3511"/>
    </row>
    <row r="3512" spans="3:13" ht="12.75" customHeight="1">
      <c r="C3512"/>
      <c r="M3512"/>
    </row>
    <row r="3513" spans="3:13" ht="12.75" customHeight="1">
      <c r="C3513"/>
      <c r="M3513"/>
    </row>
    <row r="3514" spans="3:13" ht="12.75" customHeight="1">
      <c r="C3514"/>
      <c r="M3514"/>
    </row>
    <row r="3515" spans="3:13" ht="12.75" customHeight="1">
      <c r="C3515"/>
      <c r="M3515"/>
    </row>
    <row r="3516" spans="3:13" ht="12.75" customHeight="1">
      <c r="C3516"/>
      <c r="M3516"/>
    </row>
    <row r="3517" spans="3:13" ht="12.75" customHeight="1">
      <c r="C3517"/>
      <c r="M3517"/>
    </row>
    <row r="3518" spans="3:13" ht="12.75" customHeight="1">
      <c r="C3518"/>
      <c r="M3518"/>
    </row>
    <row r="3519" spans="3:13" ht="12.75" customHeight="1">
      <c r="C3519"/>
      <c r="M3519"/>
    </row>
    <row r="3520" spans="3:13" ht="12.75" customHeight="1">
      <c r="C3520"/>
      <c r="M3520"/>
    </row>
    <row r="3521" spans="3:13" ht="12.75" customHeight="1">
      <c r="C3521"/>
      <c r="M3521"/>
    </row>
    <row r="3522" spans="3:13" ht="12.75" customHeight="1">
      <c r="C3522"/>
      <c r="M3522"/>
    </row>
    <row r="3523" spans="3:13" ht="12.75" customHeight="1">
      <c r="C3523"/>
      <c r="M3523"/>
    </row>
    <row r="3524" spans="3:13" ht="12.75" customHeight="1">
      <c r="C3524"/>
      <c r="M3524"/>
    </row>
    <row r="3525" spans="3:13" ht="12.75" customHeight="1">
      <c r="C3525"/>
      <c r="M3525"/>
    </row>
    <row r="3526" spans="3:13" ht="12.75" customHeight="1">
      <c r="C3526"/>
      <c r="M3526"/>
    </row>
    <row r="3527" spans="3:13" ht="12.75" customHeight="1">
      <c r="C3527"/>
      <c r="M3527"/>
    </row>
    <row r="3528" spans="3:13" ht="12.75" customHeight="1">
      <c r="C3528"/>
      <c r="M3528"/>
    </row>
    <row r="3529" spans="3:13" ht="12.75" customHeight="1">
      <c r="C3529"/>
      <c r="M3529"/>
    </row>
    <row r="3530" spans="3:13" ht="12.75" customHeight="1">
      <c r="C3530"/>
      <c r="M3530"/>
    </row>
    <row r="3531" spans="3:13" ht="12.75" customHeight="1">
      <c r="C3531"/>
      <c r="M3531"/>
    </row>
    <row r="3532" spans="3:13" ht="12.75" customHeight="1">
      <c r="C3532"/>
      <c r="M3532"/>
    </row>
    <row r="3533" spans="3:13" ht="12.75" customHeight="1">
      <c r="C3533"/>
      <c r="M3533"/>
    </row>
    <row r="3534" spans="3:13" ht="12.75" customHeight="1">
      <c r="C3534"/>
      <c r="M3534"/>
    </row>
    <row r="3535" spans="3:13" ht="12.75" customHeight="1">
      <c r="C3535"/>
      <c r="M3535"/>
    </row>
    <row r="3536" spans="3:13" ht="12.75" customHeight="1">
      <c r="C3536"/>
      <c r="M3536"/>
    </row>
    <row r="3537" spans="3:13" ht="12.75" customHeight="1">
      <c r="C3537"/>
      <c r="M3537"/>
    </row>
    <row r="3538" spans="3:13" ht="12.75" customHeight="1">
      <c r="C3538"/>
      <c r="M3538"/>
    </row>
    <row r="3539" spans="3:13" ht="12.75" customHeight="1">
      <c r="C3539"/>
      <c r="M3539"/>
    </row>
    <row r="3540" spans="3:13" ht="12.75" customHeight="1">
      <c r="C3540"/>
      <c r="M3540"/>
    </row>
    <row r="3541" spans="3:13" ht="12.75" customHeight="1">
      <c r="C3541"/>
      <c r="M3541"/>
    </row>
    <row r="3542" spans="3:13" ht="12.75" customHeight="1">
      <c r="C3542"/>
      <c r="M3542"/>
    </row>
    <row r="3543" spans="3:13" ht="12.75" customHeight="1">
      <c r="C3543"/>
      <c r="M3543"/>
    </row>
    <row r="3544" spans="3:13" ht="12.75" customHeight="1">
      <c r="C3544"/>
      <c r="M3544"/>
    </row>
    <row r="3545" spans="3:13" ht="12.75" customHeight="1">
      <c r="C3545"/>
      <c r="M3545"/>
    </row>
    <row r="3546" spans="3:13" ht="12.75" customHeight="1">
      <c r="C3546"/>
      <c r="M3546"/>
    </row>
    <row r="3547" spans="3:13" ht="12.75" customHeight="1">
      <c r="C3547"/>
      <c r="M3547"/>
    </row>
    <row r="3548" spans="3:13" ht="12.75" customHeight="1">
      <c r="C3548"/>
      <c r="M3548"/>
    </row>
    <row r="3549" spans="3:13" ht="12.75" customHeight="1">
      <c r="C3549"/>
      <c r="M3549"/>
    </row>
    <row r="3550" spans="3:13" ht="12.75" customHeight="1">
      <c r="C3550"/>
      <c r="M3550"/>
    </row>
    <row r="3551" spans="3:13" ht="12.75" customHeight="1">
      <c r="C3551"/>
      <c r="M3551"/>
    </row>
    <row r="3552" spans="3:13" ht="12.75" customHeight="1">
      <c r="C3552"/>
      <c r="M3552"/>
    </row>
    <row r="3553" spans="3:13" ht="12.75" customHeight="1">
      <c r="C3553"/>
      <c r="M3553"/>
    </row>
    <row r="3554" spans="3:13" ht="12.75" customHeight="1">
      <c r="C3554"/>
      <c r="M3554"/>
    </row>
    <row r="3555" spans="3:13" ht="12.75" customHeight="1">
      <c r="C3555"/>
      <c r="M3555"/>
    </row>
    <row r="3556" spans="3:13" ht="12.75" customHeight="1">
      <c r="C3556"/>
      <c r="M3556"/>
    </row>
    <row r="3557" spans="3:13" ht="12.75" customHeight="1">
      <c r="C3557"/>
      <c r="M3557"/>
    </row>
    <row r="3558" spans="3:13" ht="12.75" customHeight="1">
      <c r="C3558"/>
      <c r="M3558"/>
    </row>
    <row r="3559" spans="3:13" ht="12.75" customHeight="1">
      <c r="C3559"/>
      <c r="M3559"/>
    </row>
    <row r="3560" spans="3:13" ht="12.75" customHeight="1">
      <c r="C3560"/>
      <c r="M3560"/>
    </row>
    <row r="3561" spans="3:13" ht="12.75" customHeight="1">
      <c r="C3561"/>
      <c r="M3561"/>
    </row>
    <row r="3562" spans="3:13" ht="12.75" customHeight="1">
      <c r="C3562"/>
      <c r="M3562"/>
    </row>
    <row r="3563" spans="3:13" ht="12.75" customHeight="1">
      <c r="C3563"/>
      <c r="M3563"/>
    </row>
    <row r="3564" spans="3:13" ht="12.75" customHeight="1">
      <c r="C3564"/>
      <c r="M3564"/>
    </row>
    <row r="3565" spans="3:13" ht="12.75" customHeight="1">
      <c r="C3565"/>
      <c r="M3565"/>
    </row>
    <row r="3566" spans="3:13" ht="12.75" customHeight="1">
      <c r="C3566"/>
      <c r="M3566"/>
    </row>
    <row r="3567" spans="3:13" ht="12.75" customHeight="1">
      <c r="C3567"/>
      <c r="M3567"/>
    </row>
    <row r="3568" spans="3:13" ht="12.75" customHeight="1">
      <c r="C3568"/>
      <c r="M3568"/>
    </row>
    <row r="3569" spans="3:13" ht="12.75" customHeight="1">
      <c r="C3569"/>
      <c r="M3569"/>
    </row>
    <row r="3570" spans="3:13" ht="12.75" customHeight="1">
      <c r="C3570"/>
      <c r="M3570"/>
    </row>
    <row r="3571" spans="3:13" ht="12.75" customHeight="1">
      <c r="C3571"/>
      <c r="M3571"/>
    </row>
    <row r="3572" spans="3:13" ht="12.75" customHeight="1">
      <c r="C3572"/>
      <c r="M3572"/>
    </row>
    <row r="3573" spans="3:13" ht="12.75" customHeight="1">
      <c r="C3573"/>
      <c r="M3573"/>
    </row>
    <row r="3574" spans="3:13" ht="12.75" customHeight="1">
      <c r="C3574"/>
      <c r="M3574"/>
    </row>
    <row r="3575" spans="3:13" ht="12.75" customHeight="1">
      <c r="C3575"/>
      <c r="M3575"/>
    </row>
    <row r="3576" spans="3:13" ht="12.75" customHeight="1">
      <c r="C3576"/>
      <c r="M3576"/>
    </row>
    <row r="3577" spans="3:13" ht="12.75" customHeight="1">
      <c r="C3577"/>
      <c r="M3577"/>
    </row>
    <row r="3578" spans="3:13" ht="12.75" customHeight="1">
      <c r="C3578"/>
      <c r="M3578"/>
    </row>
    <row r="3579" spans="3:13" ht="12.75" customHeight="1">
      <c r="C3579"/>
      <c r="M3579"/>
    </row>
    <row r="3580" spans="3:13" ht="12.75" customHeight="1">
      <c r="C3580"/>
      <c r="M3580"/>
    </row>
    <row r="3581" spans="3:13" ht="12.75" customHeight="1">
      <c r="C3581"/>
      <c r="M3581"/>
    </row>
    <row r="3582" spans="3:13" ht="12.75" customHeight="1">
      <c r="C3582"/>
      <c r="M3582"/>
    </row>
    <row r="3583" spans="3:13" ht="12.75" customHeight="1">
      <c r="C3583"/>
      <c r="M3583"/>
    </row>
    <row r="3584" spans="3:13" ht="12.75" customHeight="1">
      <c r="C3584"/>
      <c r="M3584"/>
    </row>
    <row r="3585" spans="3:13" ht="12.75" customHeight="1">
      <c r="C3585"/>
      <c r="M3585"/>
    </row>
    <row r="3586" spans="3:13" ht="12.75" customHeight="1">
      <c r="C3586"/>
      <c r="M3586"/>
    </row>
    <row r="3587" spans="3:13" ht="12.75" customHeight="1">
      <c r="C3587"/>
      <c r="M3587"/>
    </row>
    <row r="3588" spans="3:13" ht="12.75" customHeight="1">
      <c r="C3588"/>
      <c r="M3588"/>
    </row>
    <row r="3589" spans="3:13" ht="12.75" customHeight="1">
      <c r="C3589"/>
      <c r="M3589"/>
    </row>
    <row r="3590" spans="3:13" ht="12.75" customHeight="1">
      <c r="C3590"/>
      <c r="M3590"/>
    </row>
    <row r="3591" spans="3:13" ht="12.75" customHeight="1">
      <c r="C3591"/>
      <c r="M3591"/>
    </row>
    <row r="3592" spans="3:13" ht="12.75" customHeight="1">
      <c r="C3592"/>
      <c r="M3592"/>
    </row>
    <row r="3593" spans="3:13" ht="12.75" customHeight="1">
      <c r="C3593"/>
      <c r="M3593"/>
    </row>
    <row r="3594" spans="3:13" ht="12.75" customHeight="1">
      <c r="C3594"/>
      <c r="M3594"/>
    </row>
    <row r="3595" spans="3:13" ht="12.75" customHeight="1">
      <c r="C3595"/>
      <c r="M3595"/>
    </row>
    <row r="3596" spans="3:13" ht="12.75" customHeight="1">
      <c r="C3596"/>
      <c r="M3596"/>
    </row>
    <row r="3597" spans="3:13" ht="12.75" customHeight="1">
      <c r="C3597"/>
      <c r="M3597"/>
    </row>
    <row r="3598" spans="3:13" ht="12.75" customHeight="1">
      <c r="C3598"/>
      <c r="M3598"/>
    </row>
    <row r="3599" spans="3:13" ht="12.75" customHeight="1">
      <c r="C3599"/>
      <c r="M3599"/>
    </row>
    <row r="3600" spans="3:13" ht="12.75" customHeight="1">
      <c r="C3600"/>
      <c r="M3600"/>
    </row>
    <row r="3601" spans="3:13" ht="12.75" customHeight="1">
      <c r="C3601"/>
      <c r="M3601"/>
    </row>
    <row r="3602" spans="3:13" ht="12.75" customHeight="1">
      <c r="C3602"/>
      <c r="M3602"/>
    </row>
    <row r="3603" spans="3:13" ht="12.75" customHeight="1">
      <c r="C3603"/>
      <c r="M3603"/>
    </row>
    <row r="3604" spans="3:13" ht="12.75" customHeight="1">
      <c r="C3604"/>
      <c r="M3604"/>
    </row>
    <row r="3605" spans="3:13" ht="12.75" customHeight="1">
      <c r="C3605"/>
      <c r="M3605"/>
    </row>
    <row r="3606" spans="3:13" ht="12.75" customHeight="1">
      <c r="C3606"/>
      <c r="M3606"/>
    </row>
    <row r="3607" spans="3:13" ht="12.75" customHeight="1">
      <c r="C3607"/>
      <c r="M3607"/>
    </row>
    <row r="3608" spans="3:13" ht="12.75" customHeight="1">
      <c r="C3608"/>
      <c r="M3608"/>
    </row>
    <row r="3609" spans="3:13" ht="12.75" customHeight="1">
      <c r="C3609"/>
      <c r="M3609"/>
    </row>
    <row r="3610" spans="3:13" ht="12.75" customHeight="1">
      <c r="C3610"/>
      <c r="M3610"/>
    </row>
    <row r="3611" spans="3:13" ht="12.75" customHeight="1">
      <c r="C3611"/>
      <c r="M3611"/>
    </row>
    <row r="3612" spans="3:13" ht="12.75" customHeight="1">
      <c r="C3612"/>
      <c r="M3612"/>
    </row>
    <row r="3613" spans="3:13" ht="12.75" customHeight="1">
      <c r="C3613"/>
      <c r="M3613"/>
    </row>
    <row r="3614" spans="3:13" ht="12.75" customHeight="1">
      <c r="C3614"/>
      <c r="M3614"/>
    </row>
    <row r="3615" spans="3:13" ht="12.75" customHeight="1">
      <c r="C3615"/>
      <c r="M3615"/>
    </row>
    <row r="3616" spans="3:13" ht="12.75" customHeight="1">
      <c r="C3616"/>
      <c r="M3616"/>
    </row>
    <row r="3617" spans="3:13" ht="12.75" customHeight="1">
      <c r="C3617"/>
      <c r="M3617"/>
    </row>
    <row r="3618" spans="3:13" ht="12.75" customHeight="1">
      <c r="C3618"/>
      <c r="M3618"/>
    </row>
    <row r="3619" spans="3:13" ht="12.75" customHeight="1">
      <c r="C3619"/>
      <c r="M3619"/>
    </row>
    <row r="3620" spans="3:13" ht="12.75" customHeight="1">
      <c r="C3620"/>
      <c r="M3620"/>
    </row>
    <row r="3621" spans="3:13" ht="12.75" customHeight="1">
      <c r="C3621"/>
      <c r="M3621"/>
    </row>
    <row r="3622" spans="3:13" ht="12.75" customHeight="1">
      <c r="C3622"/>
      <c r="M3622"/>
    </row>
    <row r="3623" spans="3:13" ht="12.75" customHeight="1">
      <c r="C3623"/>
      <c r="M3623"/>
    </row>
    <row r="3624" spans="3:13" ht="12.75" customHeight="1">
      <c r="C3624"/>
      <c r="M3624"/>
    </row>
    <row r="3625" spans="3:13" ht="12.75" customHeight="1">
      <c r="C3625"/>
      <c r="M3625"/>
    </row>
    <row r="3626" spans="3:13" ht="12.75" customHeight="1">
      <c r="C3626"/>
      <c r="M3626"/>
    </row>
    <row r="3627" spans="3:13" ht="12.75" customHeight="1">
      <c r="C3627"/>
      <c r="M3627"/>
    </row>
    <row r="3628" spans="3:13" ht="12.75" customHeight="1">
      <c r="C3628"/>
      <c r="M3628"/>
    </row>
    <row r="3629" spans="3:13" ht="12.75" customHeight="1">
      <c r="C3629"/>
      <c r="M3629"/>
    </row>
    <row r="3630" spans="3:13" ht="12.75" customHeight="1">
      <c r="C3630"/>
      <c r="M3630"/>
    </row>
    <row r="3631" spans="3:13" ht="12.75" customHeight="1">
      <c r="C3631"/>
      <c r="M3631"/>
    </row>
    <row r="3632" spans="3:13" ht="12.75" customHeight="1">
      <c r="C3632"/>
      <c r="M3632"/>
    </row>
    <row r="3633" spans="3:13" ht="12.75" customHeight="1">
      <c r="C3633"/>
      <c r="M3633"/>
    </row>
    <row r="3634" spans="3:13" ht="12.75" customHeight="1">
      <c r="C3634"/>
      <c r="M3634"/>
    </row>
    <row r="3635" spans="3:13" ht="12.75" customHeight="1">
      <c r="C3635"/>
      <c r="M3635"/>
    </row>
    <row r="3636" spans="3:13" ht="12.75" customHeight="1">
      <c r="C3636"/>
      <c r="M3636"/>
    </row>
    <row r="3637" spans="3:13" ht="12.75" customHeight="1">
      <c r="C3637"/>
      <c r="M3637"/>
    </row>
    <row r="3638" spans="3:13" ht="12.75" customHeight="1">
      <c r="C3638"/>
      <c r="M3638"/>
    </row>
    <row r="3639" spans="3:13" ht="12.75" customHeight="1">
      <c r="C3639"/>
      <c r="M3639"/>
    </row>
    <row r="3640" spans="3:13" ht="12.75" customHeight="1">
      <c r="C3640"/>
      <c r="M3640"/>
    </row>
    <row r="3641" spans="3:13" ht="12.75" customHeight="1">
      <c r="C3641"/>
      <c r="M3641"/>
    </row>
    <row r="3642" spans="3:13" ht="12.75" customHeight="1">
      <c r="C3642"/>
      <c r="M3642"/>
    </row>
    <row r="3643" spans="3:13" ht="12.75" customHeight="1">
      <c r="C3643"/>
      <c r="M3643"/>
    </row>
    <row r="3644" spans="3:13" ht="12.75" customHeight="1">
      <c r="C3644"/>
      <c r="M3644"/>
    </row>
    <row r="3645" spans="3:13" ht="12.75" customHeight="1">
      <c r="C3645"/>
      <c r="M3645"/>
    </row>
    <row r="3646" spans="3:13" ht="12.75" customHeight="1">
      <c r="C3646"/>
      <c r="M3646"/>
    </row>
    <row r="3647" spans="3:13" ht="12.75" customHeight="1">
      <c r="C3647"/>
      <c r="M3647"/>
    </row>
    <row r="3648" spans="3:13" ht="12.75" customHeight="1">
      <c r="C3648"/>
      <c r="M3648"/>
    </row>
    <row r="3649" spans="3:13" ht="12.75" customHeight="1">
      <c r="C3649"/>
      <c r="M3649"/>
    </row>
    <row r="3650" spans="3:13" ht="12.75" customHeight="1">
      <c r="C3650"/>
      <c r="M3650"/>
    </row>
    <row r="3651" spans="3:13" ht="12.75" customHeight="1">
      <c r="C3651"/>
      <c r="M3651"/>
    </row>
    <row r="3652" spans="3:13" ht="12.75" customHeight="1">
      <c r="C3652"/>
      <c r="M3652"/>
    </row>
    <row r="3653" spans="3:13" ht="12.75" customHeight="1">
      <c r="C3653"/>
      <c r="M3653"/>
    </row>
    <row r="3654" spans="3:13" ht="12.75" customHeight="1">
      <c r="C3654"/>
      <c r="M3654"/>
    </row>
    <row r="3655" spans="3:13" ht="12.75" customHeight="1">
      <c r="C3655"/>
      <c r="M3655"/>
    </row>
    <row r="3656" spans="3:13" ht="12.75" customHeight="1">
      <c r="C3656"/>
      <c r="M3656"/>
    </row>
    <row r="3657" spans="3:13" ht="12.75" customHeight="1">
      <c r="C3657"/>
      <c r="M3657"/>
    </row>
    <row r="3658" spans="3:13" ht="12.75" customHeight="1">
      <c r="C3658"/>
      <c r="M3658"/>
    </row>
    <row r="3659" spans="3:13" ht="12.75" customHeight="1">
      <c r="C3659"/>
      <c r="M3659"/>
    </row>
    <row r="3660" spans="3:13" ht="12.75" customHeight="1">
      <c r="C3660"/>
      <c r="M3660"/>
    </row>
    <row r="3661" spans="3:13" ht="12.75" customHeight="1">
      <c r="C3661"/>
      <c r="M3661"/>
    </row>
    <row r="3662" spans="3:13" ht="12.75" customHeight="1">
      <c r="C3662"/>
      <c r="M3662"/>
    </row>
    <row r="3663" spans="3:13" ht="12.75" customHeight="1">
      <c r="C3663"/>
      <c r="M3663"/>
    </row>
    <row r="3664" spans="3:13" ht="12.75" customHeight="1">
      <c r="C3664"/>
      <c r="M3664"/>
    </row>
    <row r="3665" spans="3:13" ht="12.75" customHeight="1">
      <c r="C3665"/>
      <c r="M3665"/>
    </row>
    <row r="3666" spans="3:13" ht="12.75" customHeight="1">
      <c r="C3666"/>
      <c r="M3666"/>
    </row>
    <row r="3667" spans="3:13" ht="12.75" customHeight="1">
      <c r="C3667"/>
      <c r="M3667"/>
    </row>
    <row r="3668" spans="3:13" ht="12.75" customHeight="1">
      <c r="C3668"/>
      <c r="M3668"/>
    </row>
    <row r="3669" spans="3:13" ht="12.75" customHeight="1">
      <c r="C3669"/>
      <c r="M3669"/>
    </row>
    <row r="3670" spans="3:13" ht="12.75" customHeight="1">
      <c r="C3670"/>
      <c r="M3670"/>
    </row>
    <row r="3671" spans="3:13" ht="12.75" customHeight="1">
      <c r="C3671"/>
      <c r="M3671"/>
    </row>
    <row r="3672" spans="3:13" ht="12.75" customHeight="1">
      <c r="C3672"/>
      <c r="M3672"/>
    </row>
    <row r="3673" spans="3:13" ht="12.75" customHeight="1">
      <c r="C3673"/>
      <c r="M3673"/>
    </row>
    <row r="3674" spans="3:13" ht="12.75" customHeight="1">
      <c r="C3674"/>
      <c r="M3674"/>
    </row>
    <row r="3675" spans="3:13" ht="12.75" customHeight="1">
      <c r="C3675"/>
      <c r="M3675"/>
    </row>
    <row r="3676" spans="3:13" ht="12.75" customHeight="1">
      <c r="C3676"/>
      <c r="M3676"/>
    </row>
    <row r="3677" spans="3:13" ht="12.75" customHeight="1">
      <c r="C3677"/>
      <c r="M3677"/>
    </row>
    <row r="3678" spans="3:13" ht="12.75" customHeight="1">
      <c r="C3678"/>
      <c r="M3678"/>
    </row>
    <row r="3679" spans="3:13" ht="12.75" customHeight="1">
      <c r="C3679"/>
      <c r="M3679"/>
    </row>
    <row r="3680" spans="3:13" ht="12.75" customHeight="1">
      <c r="C3680"/>
      <c r="M3680"/>
    </row>
    <row r="3681" spans="3:13" ht="12.75" customHeight="1">
      <c r="C3681"/>
      <c r="M3681"/>
    </row>
    <row r="3682" spans="3:13" ht="12.75" customHeight="1">
      <c r="C3682"/>
      <c r="M3682"/>
    </row>
    <row r="3683" spans="3:13" ht="12.75" customHeight="1">
      <c r="C3683"/>
      <c r="M3683"/>
    </row>
    <row r="3684" spans="3:13" ht="12.75" customHeight="1">
      <c r="C3684"/>
      <c r="M3684"/>
    </row>
    <row r="3685" spans="3:13" ht="12.75" customHeight="1">
      <c r="C3685"/>
      <c r="M3685"/>
    </row>
    <row r="3686" spans="3:13" ht="12.75" customHeight="1">
      <c r="C3686"/>
      <c r="M3686"/>
    </row>
    <row r="3687" spans="3:13" ht="12.75" customHeight="1">
      <c r="C3687"/>
      <c r="M3687"/>
    </row>
    <row r="3688" spans="3:13" ht="12.75" customHeight="1">
      <c r="C3688"/>
      <c r="M3688"/>
    </row>
    <row r="3689" spans="3:13" ht="12.75" customHeight="1">
      <c r="C3689"/>
      <c r="M3689"/>
    </row>
    <row r="3690" spans="3:13" ht="12.75" customHeight="1">
      <c r="C3690"/>
      <c r="M3690"/>
    </row>
    <row r="3691" spans="3:13" ht="12.75" customHeight="1">
      <c r="C3691"/>
      <c r="M3691"/>
    </row>
    <row r="3692" spans="3:13" ht="12.75" customHeight="1">
      <c r="C3692"/>
      <c r="M3692"/>
    </row>
    <row r="3693" spans="3:13" ht="12.75" customHeight="1">
      <c r="C3693"/>
      <c r="M3693"/>
    </row>
    <row r="3694" spans="3:13" ht="12.75" customHeight="1">
      <c r="C3694"/>
      <c r="M3694"/>
    </row>
    <row r="3695" spans="3:13" ht="12.75" customHeight="1">
      <c r="C3695"/>
      <c r="M3695"/>
    </row>
    <row r="3696" spans="3:13" ht="12.75" customHeight="1">
      <c r="C3696"/>
      <c r="M3696"/>
    </row>
    <row r="3697" spans="3:13" ht="12.75" customHeight="1">
      <c r="C3697"/>
      <c r="M3697"/>
    </row>
    <row r="3698" spans="3:13" ht="12.75" customHeight="1">
      <c r="C3698"/>
      <c r="M3698"/>
    </row>
    <row r="3699" spans="3:13" ht="12.75" customHeight="1">
      <c r="C3699"/>
      <c r="M3699"/>
    </row>
    <row r="3700" spans="3:13" ht="12.75" customHeight="1">
      <c r="C3700"/>
      <c r="M3700"/>
    </row>
    <row r="3701" spans="3:13" ht="12.75" customHeight="1">
      <c r="C3701"/>
      <c r="M3701"/>
    </row>
    <row r="3702" spans="3:13" ht="12.75" customHeight="1">
      <c r="C3702"/>
      <c r="M3702"/>
    </row>
    <row r="3703" spans="3:13" ht="12.75" customHeight="1">
      <c r="C3703"/>
      <c r="M3703"/>
    </row>
    <row r="3704" spans="3:13" ht="12.75" customHeight="1">
      <c r="C3704"/>
      <c r="M3704"/>
    </row>
    <row r="3705" spans="3:13" ht="12.75" customHeight="1">
      <c r="C3705"/>
      <c r="M3705"/>
    </row>
    <row r="3706" spans="3:13" ht="12.75" customHeight="1">
      <c r="C3706"/>
      <c r="M3706"/>
    </row>
    <row r="3707" spans="3:13" ht="12.75" customHeight="1">
      <c r="C3707"/>
      <c r="M3707"/>
    </row>
    <row r="3708" spans="3:13" ht="12.75" customHeight="1">
      <c r="C3708"/>
      <c r="M3708"/>
    </row>
    <row r="3709" spans="3:13" ht="12.75" customHeight="1">
      <c r="C3709"/>
      <c r="M3709"/>
    </row>
    <row r="3710" spans="3:13" ht="12.75" customHeight="1">
      <c r="C3710"/>
      <c r="M3710"/>
    </row>
    <row r="3711" spans="3:13" ht="12.75" customHeight="1">
      <c r="C3711"/>
      <c r="M3711"/>
    </row>
    <row r="3712" spans="3:13" ht="12.75" customHeight="1">
      <c r="C3712"/>
      <c r="M3712"/>
    </row>
    <row r="3713" spans="3:13" ht="12.75" customHeight="1">
      <c r="C3713"/>
      <c r="M3713"/>
    </row>
    <row r="3714" spans="3:13" ht="12.75" customHeight="1">
      <c r="C3714"/>
      <c r="M3714"/>
    </row>
    <row r="3715" spans="3:13" ht="12.75" customHeight="1">
      <c r="C3715"/>
      <c r="M3715"/>
    </row>
    <row r="3716" spans="3:13" ht="12.75" customHeight="1">
      <c r="C3716"/>
      <c r="M3716"/>
    </row>
    <row r="3717" spans="3:13" ht="12.75" customHeight="1">
      <c r="C3717"/>
      <c r="M3717"/>
    </row>
    <row r="3718" spans="3:13" ht="12.75" customHeight="1">
      <c r="C3718"/>
      <c r="M3718"/>
    </row>
    <row r="3719" spans="3:13" ht="12.75" customHeight="1">
      <c r="C3719"/>
      <c r="M3719"/>
    </row>
    <row r="3720" spans="3:13" ht="12.75" customHeight="1">
      <c r="C3720"/>
      <c r="M3720"/>
    </row>
    <row r="3721" spans="3:13" ht="12.75" customHeight="1">
      <c r="C3721"/>
      <c r="M3721"/>
    </row>
    <row r="3722" spans="3:13" ht="12.75" customHeight="1">
      <c r="C3722"/>
      <c r="M3722"/>
    </row>
    <row r="3723" spans="3:13" ht="12.75" customHeight="1">
      <c r="C3723"/>
      <c r="M3723"/>
    </row>
    <row r="3724" spans="3:13" ht="12.75" customHeight="1">
      <c r="C3724"/>
      <c r="M3724"/>
    </row>
    <row r="3725" spans="3:13" ht="12.75" customHeight="1">
      <c r="C3725"/>
      <c r="M3725"/>
    </row>
    <row r="3726" spans="3:13" ht="12.75" customHeight="1">
      <c r="C3726"/>
      <c r="M3726"/>
    </row>
    <row r="3727" spans="3:13" ht="12.75" customHeight="1">
      <c r="C3727"/>
      <c r="M3727"/>
    </row>
    <row r="3728" spans="3:13" ht="12.75" customHeight="1">
      <c r="C3728"/>
      <c r="M3728"/>
    </row>
    <row r="3729" spans="3:13" ht="12.75" customHeight="1">
      <c r="C3729"/>
      <c r="M3729"/>
    </row>
    <row r="3730" spans="3:13" ht="12.75" customHeight="1">
      <c r="C3730"/>
      <c r="M3730"/>
    </row>
    <row r="3731" spans="3:13" ht="12.75" customHeight="1">
      <c r="C3731"/>
      <c r="M3731"/>
    </row>
    <row r="3732" spans="3:13" ht="12.75" customHeight="1">
      <c r="C3732"/>
      <c r="M3732"/>
    </row>
    <row r="3733" spans="3:13" ht="12.75" customHeight="1">
      <c r="C3733"/>
      <c r="M3733"/>
    </row>
    <row r="3734" spans="3:13" ht="12.75" customHeight="1">
      <c r="C3734"/>
      <c r="M3734"/>
    </row>
    <row r="3735" spans="3:13" ht="12.75" customHeight="1">
      <c r="C3735"/>
      <c r="M3735"/>
    </row>
    <row r="3736" spans="3:13" ht="12.75" customHeight="1">
      <c r="C3736"/>
      <c r="M3736"/>
    </row>
    <row r="3737" spans="3:13" ht="12.75" customHeight="1">
      <c r="C3737"/>
      <c r="M3737"/>
    </row>
    <row r="3738" spans="3:13" ht="12.75" customHeight="1">
      <c r="C3738"/>
      <c r="M3738"/>
    </row>
    <row r="3739" spans="3:13" ht="12.75" customHeight="1">
      <c r="C3739"/>
      <c r="M3739"/>
    </row>
    <row r="3740" spans="3:13" ht="12.75" customHeight="1">
      <c r="C3740"/>
      <c r="M3740"/>
    </row>
    <row r="3741" spans="3:13" ht="12.75" customHeight="1">
      <c r="C3741"/>
      <c r="M3741"/>
    </row>
    <row r="3742" spans="3:13" ht="12.75" customHeight="1">
      <c r="C3742"/>
      <c r="M3742"/>
    </row>
    <row r="3743" spans="3:13" ht="12.75" customHeight="1">
      <c r="C3743"/>
      <c r="M3743"/>
    </row>
    <row r="3744" spans="3:13" ht="12.75" customHeight="1">
      <c r="C3744"/>
      <c r="M3744"/>
    </row>
    <row r="3745" spans="3:13" ht="12.75" customHeight="1">
      <c r="C3745"/>
      <c r="M3745"/>
    </row>
    <row r="3746" spans="3:13" ht="12.75" customHeight="1">
      <c r="C3746"/>
      <c r="M3746"/>
    </row>
    <row r="3747" spans="3:13" ht="12.75" customHeight="1">
      <c r="C3747"/>
      <c r="M3747"/>
    </row>
    <row r="3748" spans="3:13" ht="12.75" customHeight="1">
      <c r="C3748"/>
      <c r="M3748"/>
    </row>
    <row r="3749" spans="3:13" ht="12.75" customHeight="1">
      <c r="C3749"/>
      <c r="M3749"/>
    </row>
    <row r="3750" spans="3:13" ht="12.75" customHeight="1">
      <c r="C3750"/>
      <c r="M3750"/>
    </row>
    <row r="3751" spans="3:13" ht="12.75" customHeight="1">
      <c r="C3751"/>
      <c r="M3751"/>
    </row>
    <row r="3752" spans="3:13" ht="12.75" customHeight="1">
      <c r="C3752"/>
      <c r="M3752"/>
    </row>
    <row r="3753" spans="3:13" ht="12.75" customHeight="1">
      <c r="C3753"/>
      <c r="M3753"/>
    </row>
    <row r="3754" spans="3:13" ht="12.75" customHeight="1">
      <c r="C3754"/>
      <c r="M3754"/>
    </row>
    <row r="3755" spans="3:13" ht="12.75" customHeight="1">
      <c r="C3755"/>
      <c r="M3755"/>
    </row>
    <row r="3756" spans="3:13" ht="12.75" customHeight="1">
      <c r="C3756"/>
      <c r="M3756"/>
    </row>
    <row r="3757" spans="3:13" ht="12.75" customHeight="1">
      <c r="C3757"/>
      <c r="M3757"/>
    </row>
    <row r="3758" spans="3:13" ht="12.75" customHeight="1">
      <c r="C3758"/>
      <c r="M3758"/>
    </row>
    <row r="3759" spans="3:13" ht="12.75" customHeight="1">
      <c r="C3759"/>
      <c r="M3759"/>
    </row>
    <row r="3760" spans="3:13" ht="12.75" customHeight="1">
      <c r="C3760"/>
      <c r="M3760"/>
    </row>
    <row r="3761" spans="3:13" ht="12.75" customHeight="1">
      <c r="C3761"/>
      <c r="M3761"/>
    </row>
    <row r="3762" spans="3:13" ht="12.75" customHeight="1">
      <c r="C3762"/>
      <c r="M3762"/>
    </row>
    <row r="3763" spans="3:13" ht="12.75" customHeight="1">
      <c r="C3763"/>
      <c r="M3763"/>
    </row>
    <row r="3764" spans="3:13" ht="12.75" customHeight="1">
      <c r="C3764"/>
      <c r="M3764"/>
    </row>
    <row r="3765" spans="3:13" ht="12.75" customHeight="1">
      <c r="C3765"/>
      <c r="M3765"/>
    </row>
    <row r="3766" spans="3:13" ht="12.75" customHeight="1">
      <c r="C3766"/>
      <c r="M3766"/>
    </row>
    <row r="3767" spans="3:13" ht="12.75" customHeight="1">
      <c r="C3767"/>
      <c r="M3767"/>
    </row>
    <row r="3768" spans="3:13" ht="12.75" customHeight="1">
      <c r="C3768"/>
      <c r="M3768"/>
    </row>
    <row r="3769" spans="3:13" ht="12.75" customHeight="1">
      <c r="C3769"/>
      <c r="M3769"/>
    </row>
    <row r="3770" spans="3:13" ht="12.75" customHeight="1">
      <c r="C3770"/>
      <c r="M3770"/>
    </row>
    <row r="3771" spans="3:13" ht="12.75" customHeight="1">
      <c r="C3771"/>
      <c r="M3771"/>
    </row>
    <row r="3772" spans="3:13" ht="12.75" customHeight="1">
      <c r="C3772"/>
      <c r="M3772"/>
    </row>
    <row r="3773" spans="3:13" ht="12.75" customHeight="1">
      <c r="C3773"/>
      <c r="M3773"/>
    </row>
    <row r="3774" spans="3:13" ht="12.75" customHeight="1">
      <c r="C3774"/>
      <c r="M3774"/>
    </row>
    <row r="3775" spans="3:13" ht="12.75" customHeight="1">
      <c r="C3775"/>
      <c r="M3775"/>
    </row>
    <row r="3776" spans="3:13" ht="12.75" customHeight="1">
      <c r="C3776"/>
      <c r="M3776"/>
    </row>
    <row r="3777" spans="3:13" ht="12.75" customHeight="1">
      <c r="C3777"/>
      <c r="M3777"/>
    </row>
    <row r="3778" spans="3:13" ht="12.75" customHeight="1">
      <c r="C3778"/>
      <c r="M3778"/>
    </row>
    <row r="3779" spans="3:13" ht="12.75" customHeight="1">
      <c r="C3779"/>
      <c r="M3779"/>
    </row>
    <row r="3780" spans="3:13" ht="12.75" customHeight="1">
      <c r="C3780"/>
      <c r="M3780"/>
    </row>
    <row r="3781" spans="3:13" ht="12.75" customHeight="1">
      <c r="C3781"/>
      <c r="M3781"/>
    </row>
    <row r="3782" spans="3:13" ht="12.75" customHeight="1">
      <c r="C3782"/>
      <c r="M3782"/>
    </row>
    <row r="3783" spans="3:13" ht="12.75" customHeight="1">
      <c r="C3783"/>
      <c r="M3783"/>
    </row>
    <row r="3784" spans="3:13" ht="12.75" customHeight="1">
      <c r="C3784"/>
      <c r="M3784"/>
    </row>
    <row r="3785" spans="3:13" ht="12.75" customHeight="1">
      <c r="C3785"/>
      <c r="M3785"/>
    </row>
    <row r="3786" spans="3:13" ht="12.75" customHeight="1">
      <c r="C3786"/>
      <c r="M3786"/>
    </row>
    <row r="3787" spans="3:13" ht="12.75" customHeight="1">
      <c r="C3787"/>
      <c r="M3787"/>
    </row>
    <row r="3788" spans="3:13" ht="12.75" customHeight="1">
      <c r="C3788"/>
      <c r="M3788"/>
    </row>
    <row r="3789" spans="3:13" ht="12.75" customHeight="1">
      <c r="C3789"/>
      <c r="M3789"/>
    </row>
    <row r="3790" spans="3:13" ht="12.75" customHeight="1">
      <c r="C3790"/>
      <c r="M3790"/>
    </row>
    <row r="3791" spans="3:13" ht="12.75" customHeight="1">
      <c r="C3791"/>
      <c r="M3791"/>
    </row>
    <row r="3792" spans="3:13" ht="12.75" customHeight="1">
      <c r="C3792"/>
      <c r="M3792"/>
    </row>
    <row r="3793" spans="3:13" ht="12.75" customHeight="1">
      <c r="C3793"/>
      <c r="M3793"/>
    </row>
    <row r="3794" spans="3:13" ht="12.75" customHeight="1">
      <c r="C3794"/>
      <c r="M3794"/>
    </row>
    <row r="3795" spans="3:13" ht="12.75" customHeight="1">
      <c r="C3795"/>
      <c r="M3795"/>
    </row>
    <row r="3796" spans="3:13" ht="12.75" customHeight="1">
      <c r="C3796"/>
      <c r="M3796"/>
    </row>
    <row r="3797" spans="3:13" ht="12.75" customHeight="1">
      <c r="C3797"/>
      <c r="M3797"/>
    </row>
    <row r="3798" spans="3:13" ht="12.75" customHeight="1">
      <c r="C3798"/>
      <c r="M3798"/>
    </row>
    <row r="3799" spans="3:13" ht="12.75" customHeight="1">
      <c r="C3799"/>
      <c r="M3799"/>
    </row>
    <row r="3800" spans="3:13" ht="12.75" customHeight="1">
      <c r="C3800"/>
      <c r="M3800"/>
    </row>
    <row r="3801" spans="3:13" ht="12.75" customHeight="1">
      <c r="C3801"/>
      <c r="M3801"/>
    </row>
    <row r="3802" spans="3:13" ht="12.75" customHeight="1">
      <c r="C3802"/>
      <c r="M3802"/>
    </row>
    <row r="3803" spans="3:13" ht="12.75" customHeight="1">
      <c r="C3803"/>
      <c r="M3803"/>
    </row>
    <row r="3804" spans="3:13" ht="12.75" customHeight="1">
      <c r="C3804"/>
      <c r="M3804"/>
    </row>
    <row r="3805" spans="3:13" ht="12.75" customHeight="1">
      <c r="C3805"/>
      <c r="M3805"/>
    </row>
    <row r="3806" spans="3:13" ht="12.75" customHeight="1">
      <c r="C3806"/>
      <c r="M3806"/>
    </row>
    <row r="3807" spans="3:13" ht="12.75" customHeight="1">
      <c r="C3807"/>
      <c r="M3807"/>
    </row>
    <row r="3808" spans="3:13" ht="12.75" customHeight="1">
      <c r="C3808"/>
      <c r="M3808"/>
    </row>
    <row r="3809" spans="3:13" ht="12.75" customHeight="1">
      <c r="C3809"/>
      <c r="M3809"/>
    </row>
    <row r="3810" spans="3:13" ht="12.75" customHeight="1">
      <c r="C3810"/>
      <c r="M3810"/>
    </row>
    <row r="3811" spans="3:13" ht="12.75" customHeight="1">
      <c r="C3811"/>
      <c r="M3811"/>
    </row>
    <row r="3812" spans="3:13" ht="12.75" customHeight="1">
      <c r="C3812"/>
      <c r="M3812"/>
    </row>
    <row r="3813" spans="3:13" ht="12.75" customHeight="1">
      <c r="C3813"/>
      <c r="M3813"/>
    </row>
    <row r="3814" spans="3:13" ht="12.75" customHeight="1">
      <c r="C3814"/>
      <c r="M3814"/>
    </row>
    <row r="3815" spans="3:13" ht="12.75" customHeight="1">
      <c r="C3815"/>
      <c r="M3815"/>
    </row>
    <row r="3816" spans="3:13" ht="12.75" customHeight="1">
      <c r="C3816"/>
      <c r="M3816"/>
    </row>
    <row r="3817" spans="3:13" ht="12.75" customHeight="1">
      <c r="C3817"/>
      <c r="M3817"/>
    </row>
    <row r="3818" spans="3:13" ht="12.75" customHeight="1">
      <c r="C3818"/>
      <c r="M3818"/>
    </row>
    <row r="3819" spans="3:13" ht="12.75" customHeight="1">
      <c r="C3819"/>
      <c r="M3819"/>
    </row>
    <row r="3820" spans="3:13" ht="12.75" customHeight="1">
      <c r="C3820"/>
      <c r="M3820"/>
    </row>
    <row r="3821" spans="3:13" ht="12.75" customHeight="1">
      <c r="C3821"/>
      <c r="M3821"/>
    </row>
    <row r="3822" spans="3:13" ht="12.75" customHeight="1">
      <c r="C3822"/>
      <c r="M3822"/>
    </row>
    <row r="3823" spans="3:13" ht="12.75" customHeight="1">
      <c r="C3823"/>
      <c r="M3823"/>
    </row>
    <row r="3824" spans="3:13" ht="12.75" customHeight="1">
      <c r="C3824"/>
      <c r="M3824"/>
    </row>
    <row r="3825" spans="3:13" ht="12.75" customHeight="1">
      <c r="C3825"/>
      <c r="M3825"/>
    </row>
    <row r="3826" spans="3:13" ht="12.75" customHeight="1">
      <c r="C3826"/>
      <c r="M3826"/>
    </row>
    <row r="3827" spans="3:13" ht="12.75" customHeight="1">
      <c r="C3827"/>
      <c r="M3827"/>
    </row>
    <row r="3828" spans="3:13" ht="12.75" customHeight="1">
      <c r="C3828"/>
      <c r="M3828"/>
    </row>
    <row r="3829" spans="3:13" ht="12.75" customHeight="1">
      <c r="C3829"/>
      <c r="M3829"/>
    </row>
    <row r="3830" spans="3:13" ht="12.75" customHeight="1">
      <c r="C3830"/>
      <c r="M3830"/>
    </row>
    <row r="3831" spans="3:13" ht="12.75" customHeight="1">
      <c r="C3831"/>
      <c r="M3831"/>
    </row>
    <row r="3832" spans="3:13" ht="12.75" customHeight="1">
      <c r="C3832"/>
      <c r="M3832"/>
    </row>
    <row r="3833" spans="3:13" ht="12.75" customHeight="1">
      <c r="C3833"/>
      <c r="M3833"/>
    </row>
    <row r="3834" spans="3:13" ht="12.75" customHeight="1">
      <c r="C3834"/>
      <c r="M3834"/>
    </row>
    <row r="3835" spans="3:13" ht="12.75" customHeight="1">
      <c r="C3835"/>
      <c r="M3835"/>
    </row>
    <row r="3836" spans="3:13" ht="12.75" customHeight="1">
      <c r="C3836"/>
      <c r="M3836"/>
    </row>
    <row r="3837" spans="3:13" ht="12.75" customHeight="1">
      <c r="C3837"/>
      <c r="M3837"/>
    </row>
    <row r="3838" spans="3:13" ht="12.75" customHeight="1">
      <c r="C3838"/>
      <c r="M3838"/>
    </row>
    <row r="3839" spans="3:13" ht="12.75" customHeight="1">
      <c r="C3839"/>
      <c r="M3839"/>
    </row>
    <row r="3840" spans="3:13" ht="12.75" customHeight="1">
      <c r="C3840"/>
      <c r="M3840"/>
    </row>
    <row r="3841" spans="3:13" ht="12.75" customHeight="1">
      <c r="C3841"/>
      <c r="M3841"/>
    </row>
    <row r="3842" spans="3:13" ht="12.75" customHeight="1">
      <c r="C3842"/>
      <c r="M3842"/>
    </row>
    <row r="3843" spans="3:13" ht="12.75" customHeight="1">
      <c r="C3843"/>
      <c r="M3843"/>
    </row>
    <row r="3844" spans="3:13" ht="12.75" customHeight="1">
      <c r="C3844"/>
      <c r="M3844"/>
    </row>
    <row r="3845" spans="3:13" ht="12.75" customHeight="1">
      <c r="C3845"/>
      <c r="M3845"/>
    </row>
    <row r="3846" spans="3:13" ht="12.75" customHeight="1">
      <c r="C3846"/>
      <c r="M3846"/>
    </row>
    <row r="3847" spans="3:13" ht="12.75" customHeight="1">
      <c r="C3847"/>
      <c r="M3847"/>
    </row>
    <row r="3848" spans="3:13" ht="12.75" customHeight="1">
      <c r="C3848"/>
      <c r="M3848"/>
    </row>
    <row r="3849" spans="3:13" ht="12.75" customHeight="1">
      <c r="C3849"/>
      <c r="M3849"/>
    </row>
    <row r="3850" spans="3:13" ht="12.75" customHeight="1">
      <c r="C3850"/>
      <c r="M3850"/>
    </row>
    <row r="3851" spans="3:13" ht="12.75" customHeight="1">
      <c r="C3851"/>
      <c r="M3851"/>
    </row>
    <row r="3852" spans="3:13" ht="12.75" customHeight="1">
      <c r="C3852"/>
      <c r="M3852"/>
    </row>
    <row r="3853" spans="3:13" ht="12.75" customHeight="1">
      <c r="C3853"/>
      <c r="M3853"/>
    </row>
    <row r="3854" spans="3:13" ht="12.75" customHeight="1">
      <c r="C3854"/>
      <c r="M3854"/>
    </row>
    <row r="3855" spans="3:13" ht="12.75" customHeight="1">
      <c r="C3855"/>
      <c r="M3855"/>
    </row>
    <row r="3856" spans="3:13" ht="12.75" customHeight="1">
      <c r="C3856"/>
      <c r="M3856"/>
    </row>
    <row r="3857" spans="3:13" ht="12.75" customHeight="1">
      <c r="C3857"/>
      <c r="M3857"/>
    </row>
    <row r="3858" spans="3:13" ht="12.75" customHeight="1">
      <c r="C3858"/>
      <c r="M3858"/>
    </row>
    <row r="3859" spans="3:13" ht="12.75" customHeight="1">
      <c r="C3859"/>
      <c r="M3859"/>
    </row>
    <row r="3860" spans="3:13" ht="12.75" customHeight="1">
      <c r="C3860"/>
      <c r="M3860"/>
    </row>
    <row r="3861" spans="3:13" ht="12.75" customHeight="1">
      <c r="C3861"/>
      <c r="M3861"/>
    </row>
    <row r="3862" spans="3:13" ht="12.75" customHeight="1">
      <c r="C3862"/>
      <c r="M3862"/>
    </row>
    <row r="3863" spans="3:13" ht="12.75" customHeight="1">
      <c r="C3863"/>
      <c r="M3863"/>
    </row>
    <row r="3864" spans="3:13" ht="12.75" customHeight="1">
      <c r="C3864"/>
      <c r="M3864"/>
    </row>
    <row r="3865" spans="3:13" ht="12.75" customHeight="1">
      <c r="C3865"/>
      <c r="M3865"/>
    </row>
    <row r="3866" spans="3:13" ht="12.75" customHeight="1">
      <c r="C3866"/>
      <c r="M3866"/>
    </row>
    <row r="3867" spans="3:13" ht="12.75" customHeight="1">
      <c r="C3867"/>
      <c r="M3867"/>
    </row>
    <row r="3868" spans="3:13" ht="12.75" customHeight="1">
      <c r="C3868"/>
      <c r="M3868"/>
    </row>
    <row r="3869" spans="3:13" ht="12.75" customHeight="1">
      <c r="C3869"/>
      <c r="M3869"/>
    </row>
    <row r="3870" spans="3:13" ht="12.75" customHeight="1">
      <c r="C3870"/>
      <c r="M3870"/>
    </row>
    <row r="3871" spans="3:13" ht="12.75" customHeight="1">
      <c r="C3871"/>
      <c r="M3871"/>
    </row>
    <row r="3872" spans="3:13" ht="12.75" customHeight="1">
      <c r="C3872"/>
      <c r="M3872"/>
    </row>
    <row r="3873" spans="3:13" ht="12.75" customHeight="1">
      <c r="C3873"/>
      <c r="M3873"/>
    </row>
    <row r="3874" spans="3:13" ht="12.75" customHeight="1">
      <c r="C3874"/>
      <c r="M3874"/>
    </row>
    <row r="3875" spans="3:13" ht="12.75" customHeight="1">
      <c r="C3875"/>
      <c r="M3875"/>
    </row>
    <row r="3876" spans="3:13" ht="12.75" customHeight="1">
      <c r="C3876"/>
      <c r="M3876"/>
    </row>
    <row r="3877" spans="3:13" ht="12.75" customHeight="1">
      <c r="C3877"/>
      <c r="M3877"/>
    </row>
    <row r="3878" spans="3:13" ht="12.75" customHeight="1">
      <c r="C3878"/>
      <c r="M3878"/>
    </row>
    <row r="3879" spans="3:13" ht="12.75" customHeight="1">
      <c r="C3879"/>
      <c r="M3879"/>
    </row>
    <row r="3880" spans="3:13" ht="12.75" customHeight="1">
      <c r="C3880"/>
      <c r="M3880"/>
    </row>
    <row r="3881" spans="3:13" ht="12.75" customHeight="1">
      <c r="C3881"/>
      <c r="M3881"/>
    </row>
    <row r="3882" spans="3:13" ht="12.75" customHeight="1">
      <c r="C3882"/>
      <c r="M3882"/>
    </row>
    <row r="3883" spans="3:13" ht="12.75" customHeight="1">
      <c r="C3883"/>
      <c r="M3883"/>
    </row>
    <row r="3884" spans="3:13" ht="12.75" customHeight="1">
      <c r="C3884"/>
      <c r="M3884"/>
    </row>
    <row r="3885" spans="3:13" ht="12.75" customHeight="1">
      <c r="C3885"/>
      <c r="M3885"/>
    </row>
    <row r="3886" spans="3:13" ht="12.75" customHeight="1">
      <c r="C3886"/>
      <c r="M3886"/>
    </row>
    <row r="3887" spans="3:13" ht="12.75" customHeight="1">
      <c r="C3887"/>
      <c r="M3887"/>
    </row>
    <row r="3888" spans="3:13" ht="12.75" customHeight="1">
      <c r="C3888"/>
      <c r="M3888"/>
    </row>
    <row r="3889" spans="3:13" ht="12.75" customHeight="1">
      <c r="C3889"/>
      <c r="M3889"/>
    </row>
    <row r="3890" spans="3:13" ht="12.75" customHeight="1">
      <c r="C3890"/>
      <c r="M3890"/>
    </row>
    <row r="3891" spans="3:13" ht="12.75" customHeight="1">
      <c r="C3891"/>
      <c r="M3891"/>
    </row>
    <row r="3892" spans="3:13" ht="12.75" customHeight="1">
      <c r="C3892"/>
      <c r="M3892"/>
    </row>
    <row r="3893" spans="3:13" ht="12.75" customHeight="1">
      <c r="C3893"/>
      <c r="M3893"/>
    </row>
    <row r="3894" spans="3:13" ht="12.75" customHeight="1">
      <c r="C3894"/>
      <c r="M3894"/>
    </row>
    <row r="3895" spans="3:13" ht="12.75" customHeight="1">
      <c r="C3895"/>
      <c r="M3895"/>
    </row>
    <row r="3896" spans="3:13" ht="12.75" customHeight="1">
      <c r="C3896"/>
      <c r="M3896"/>
    </row>
    <row r="3897" spans="3:13" ht="12.75" customHeight="1">
      <c r="C3897"/>
      <c r="M3897"/>
    </row>
    <row r="3898" spans="3:13" ht="12.75" customHeight="1">
      <c r="C3898"/>
      <c r="M3898"/>
    </row>
    <row r="3899" spans="3:13" ht="12.75" customHeight="1">
      <c r="C3899"/>
      <c r="M3899"/>
    </row>
    <row r="3900" spans="3:13" ht="12.75" customHeight="1">
      <c r="C3900"/>
      <c r="M3900"/>
    </row>
    <row r="3901" spans="3:13" ht="12.75" customHeight="1">
      <c r="C3901"/>
      <c r="M3901"/>
    </row>
    <row r="3902" spans="3:13" ht="12.75" customHeight="1">
      <c r="C3902"/>
      <c r="M3902"/>
    </row>
    <row r="3903" spans="3:13" ht="12.75" customHeight="1">
      <c r="C3903"/>
      <c r="M3903"/>
    </row>
    <row r="3904" spans="3:13" ht="12.75" customHeight="1">
      <c r="C3904"/>
      <c r="M3904"/>
    </row>
    <row r="3905" spans="3:13" ht="12.75" customHeight="1">
      <c r="C3905"/>
      <c r="M3905"/>
    </row>
    <row r="3906" spans="3:13" ht="12.75" customHeight="1">
      <c r="C3906"/>
      <c r="M3906"/>
    </row>
    <row r="3907" spans="3:13" ht="12.75" customHeight="1">
      <c r="C3907"/>
      <c r="M3907"/>
    </row>
    <row r="3908" spans="3:13" ht="12.75" customHeight="1">
      <c r="C3908"/>
      <c r="M3908"/>
    </row>
    <row r="3909" spans="3:13" ht="12.75" customHeight="1">
      <c r="C3909"/>
      <c r="M3909"/>
    </row>
    <row r="3910" spans="3:13" ht="12.75" customHeight="1">
      <c r="C3910"/>
      <c r="M3910"/>
    </row>
    <row r="3911" spans="3:13" ht="12.75" customHeight="1">
      <c r="C3911"/>
      <c r="M3911"/>
    </row>
    <row r="3912" spans="3:13" ht="12.75" customHeight="1">
      <c r="C3912"/>
      <c r="M3912"/>
    </row>
    <row r="3913" spans="3:13" ht="12.75" customHeight="1">
      <c r="C3913"/>
      <c r="M3913"/>
    </row>
    <row r="3914" spans="3:13" ht="12.75" customHeight="1">
      <c r="C3914"/>
      <c r="M3914"/>
    </row>
    <row r="3915" spans="3:13" ht="12.75" customHeight="1">
      <c r="C3915"/>
      <c r="M3915"/>
    </row>
    <row r="3916" spans="3:13" ht="12.75" customHeight="1">
      <c r="C3916"/>
      <c r="M3916"/>
    </row>
    <row r="3917" spans="3:13" ht="12.75" customHeight="1">
      <c r="C3917"/>
      <c r="M3917"/>
    </row>
    <row r="3918" spans="3:13" ht="12.75" customHeight="1">
      <c r="C3918"/>
      <c r="M3918"/>
    </row>
    <row r="3919" spans="3:13" ht="12.75" customHeight="1">
      <c r="C3919"/>
      <c r="M3919"/>
    </row>
    <row r="3920" spans="3:13" ht="12.75" customHeight="1">
      <c r="C3920"/>
      <c r="M3920"/>
    </row>
    <row r="3921" spans="3:13" ht="12.75" customHeight="1">
      <c r="C3921"/>
      <c r="M3921"/>
    </row>
    <row r="3922" spans="3:13" ht="12.75" customHeight="1">
      <c r="C3922"/>
      <c r="M3922"/>
    </row>
    <row r="3923" spans="3:13" ht="12.75" customHeight="1">
      <c r="C3923"/>
      <c r="M3923"/>
    </row>
    <row r="3924" spans="3:13" ht="12.75" customHeight="1">
      <c r="C3924"/>
      <c r="M3924"/>
    </row>
    <row r="3925" spans="3:13" ht="12.75" customHeight="1">
      <c r="C3925"/>
      <c r="M3925"/>
    </row>
    <row r="3926" spans="3:13" ht="12.75" customHeight="1">
      <c r="C3926"/>
      <c r="M3926"/>
    </row>
    <row r="3927" spans="3:13" ht="12.75" customHeight="1">
      <c r="C3927"/>
      <c r="M3927"/>
    </row>
    <row r="3928" spans="3:13" ht="12.75" customHeight="1">
      <c r="C3928"/>
      <c r="M3928"/>
    </row>
    <row r="3929" spans="3:13" ht="12.75" customHeight="1">
      <c r="C3929"/>
      <c r="M3929"/>
    </row>
    <row r="3930" spans="3:13" ht="12.75" customHeight="1">
      <c r="C3930"/>
      <c r="M3930"/>
    </row>
    <row r="3931" spans="3:13" ht="12.75" customHeight="1">
      <c r="C3931"/>
      <c r="M3931"/>
    </row>
    <row r="3932" spans="3:13" ht="12.75" customHeight="1">
      <c r="C3932"/>
      <c r="M3932"/>
    </row>
    <row r="3933" spans="3:13" ht="12.75" customHeight="1">
      <c r="C3933"/>
      <c r="M3933"/>
    </row>
    <row r="3934" spans="3:13" ht="12.75" customHeight="1">
      <c r="C3934"/>
      <c r="M3934"/>
    </row>
    <row r="3935" spans="3:13" ht="12.75" customHeight="1">
      <c r="C3935"/>
      <c r="M3935"/>
    </row>
    <row r="3936" spans="3:13" ht="12.75" customHeight="1">
      <c r="C3936"/>
      <c r="M3936"/>
    </row>
    <row r="3937" spans="3:13" ht="12.75" customHeight="1">
      <c r="C3937"/>
      <c r="M3937"/>
    </row>
    <row r="3938" spans="3:13" ht="12.75" customHeight="1">
      <c r="C3938"/>
      <c r="M3938"/>
    </row>
    <row r="3939" spans="3:13" ht="12.75" customHeight="1">
      <c r="C3939"/>
      <c r="M3939"/>
    </row>
    <row r="3940" spans="3:13" ht="12.75" customHeight="1">
      <c r="C3940"/>
      <c r="M3940"/>
    </row>
    <row r="3941" spans="3:13" ht="12.75" customHeight="1">
      <c r="C3941"/>
      <c r="M3941"/>
    </row>
    <row r="3942" spans="3:13" ht="12.75" customHeight="1">
      <c r="C3942"/>
      <c r="M3942"/>
    </row>
    <row r="3943" spans="3:13" ht="12.75" customHeight="1">
      <c r="C3943"/>
      <c r="M3943"/>
    </row>
    <row r="3944" spans="3:13" ht="12.75" customHeight="1">
      <c r="C3944"/>
      <c r="M3944"/>
    </row>
    <row r="3945" spans="3:13" ht="12.75" customHeight="1">
      <c r="C3945"/>
      <c r="M3945"/>
    </row>
    <row r="3946" spans="3:13" ht="12.75" customHeight="1">
      <c r="C3946"/>
      <c r="M3946"/>
    </row>
    <row r="3947" spans="3:13" ht="12.75" customHeight="1">
      <c r="C3947"/>
      <c r="M3947"/>
    </row>
    <row r="3948" spans="3:13" ht="12.75" customHeight="1">
      <c r="C3948"/>
      <c r="M3948"/>
    </row>
    <row r="3949" spans="3:13" ht="12.75" customHeight="1">
      <c r="C3949"/>
      <c r="M3949"/>
    </row>
    <row r="3950" spans="3:13" ht="12.75" customHeight="1">
      <c r="C3950"/>
      <c r="M3950"/>
    </row>
    <row r="3951" spans="3:13" ht="12.75" customHeight="1">
      <c r="C3951"/>
      <c r="M3951"/>
    </row>
    <row r="3952" spans="3:13" ht="12.75" customHeight="1">
      <c r="C3952"/>
      <c r="M3952"/>
    </row>
    <row r="3953" spans="3:13" ht="12.75" customHeight="1">
      <c r="C3953"/>
      <c r="M3953"/>
    </row>
    <row r="3954" spans="3:13" ht="12.75" customHeight="1">
      <c r="C3954"/>
      <c r="M3954"/>
    </row>
    <row r="3955" spans="3:13" ht="12.75" customHeight="1">
      <c r="C3955"/>
      <c r="M3955"/>
    </row>
    <row r="3956" spans="3:13" ht="12.75" customHeight="1">
      <c r="C3956"/>
      <c r="M3956"/>
    </row>
    <row r="3957" spans="3:13" ht="12.75" customHeight="1">
      <c r="C3957"/>
      <c r="M3957"/>
    </row>
    <row r="3958" spans="3:13" ht="12.75" customHeight="1">
      <c r="C3958"/>
      <c r="M3958"/>
    </row>
    <row r="3959" spans="3:13" ht="12.75" customHeight="1">
      <c r="C3959"/>
      <c r="M3959"/>
    </row>
    <row r="3960" spans="3:13" ht="12.75" customHeight="1">
      <c r="C3960"/>
      <c r="M3960"/>
    </row>
    <row r="3961" spans="3:13" ht="12.75" customHeight="1">
      <c r="C3961"/>
      <c r="M3961"/>
    </row>
    <row r="3962" spans="3:13" ht="12.75" customHeight="1">
      <c r="C3962"/>
      <c r="M3962"/>
    </row>
    <row r="3963" spans="3:13" ht="12.75" customHeight="1">
      <c r="C3963"/>
      <c r="M3963"/>
    </row>
    <row r="3964" spans="3:13" ht="12.75" customHeight="1">
      <c r="C3964"/>
      <c r="M3964"/>
    </row>
    <row r="3965" spans="3:13" ht="12.75" customHeight="1">
      <c r="C3965"/>
      <c r="M3965"/>
    </row>
    <row r="3966" spans="3:13" ht="12.75" customHeight="1">
      <c r="C3966"/>
      <c r="M3966"/>
    </row>
    <row r="3967" spans="3:13" ht="12.75" customHeight="1">
      <c r="C3967"/>
      <c r="M3967"/>
    </row>
    <row r="3968" spans="3:13" ht="12.75" customHeight="1">
      <c r="C3968"/>
      <c r="M3968"/>
    </row>
    <row r="3969" spans="3:13" ht="12.75" customHeight="1">
      <c r="C3969"/>
      <c r="M3969"/>
    </row>
    <row r="3970" spans="3:13" ht="12.75" customHeight="1">
      <c r="C3970"/>
      <c r="M3970"/>
    </row>
    <row r="3971" spans="3:13" ht="12.75" customHeight="1">
      <c r="C3971"/>
      <c r="M3971"/>
    </row>
    <row r="3972" spans="3:13" ht="12.75" customHeight="1">
      <c r="C3972"/>
      <c r="M3972"/>
    </row>
    <row r="3973" spans="3:13" ht="12.75" customHeight="1">
      <c r="C3973"/>
      <c r="M3973"/>
    </row>
    <row r="3974" spans="3:13" ht="12.75" customHeight="1">
      <c r="C3974"/>
      <c r="M3974"/>
    </row>
    <row r="3975" spans="3:13" ht="12.75" customHeight="1">
      <c r="C3975"/>
      <c r="M3975"/>
    </row>
    <row r="3976" spans="3:13" ht="12.75" customHeight="1">
      <c r="C3976"/>
      <c r="M3976"/>
    </row>
    <row r="3977" spans="3:13" ht="12.75" customHeight="1">
      <c r="C3977"/>
      <c r="M3977"/>
    </row>
    <row r="3978" spans="3:13" ht="12.75" customHeight="1">
      <c r="C3978"/>
      <c r="M3978"/>
    </row>
    <row r="3979" spans="3:13" ht="12.75" customHeight="1">
      <c r="C3979"/>
      <c r="M3979"/>
    </row>
    <row r="3980" spans="3:13" ht="12.75" customHeight="1">
      <c r="C3980"/>
      <c r="M3980"/>
    </row>
    <row r="3981" spans="3:13" ht="12.75" customHeight="1">
      <c r="C3981"/>
      <c r="M3981"/>
    </row>
    <row r="3982" spans="3:13" ht="12.75" customHeight="1">
      <c r="C3982"/>
      <c r="M3982"/>
    </row>
    <row r="3983" spans="3:13" ht="12.75" customHeight="1">
      <c r="C3983"/>
      <c r="M3983"/>
    </row>
    <row r="3984" spans="3:13" ht="12.75" customHeight="1">
      <c r="C3984"/>
      <c r="M3984"/>
    </row>
    <row r="3985" spans="3:13" ht="12.75" customHeight="1">
      <c r="C3985"/>
      <c r="M3985"/>
    </row>
    <row r="3986" spans="3:13" ht="12.75" customHeight="1">
      <c r="C3986"/>
      <c r="M3986"/>
    </row>
    <row r="3987" spans="3:13" ht="12.75" customHeight="1">
      <c r="C3987"/>
      <c r="M3987"/>
    </row>
    <row r="3988" spans="3:13" ht="12.75" customHeight="1">
      <c r="C3988"/>
      <c r="M3988"/>
    </row>
    <row r="3989" spans="3:13" ht="12.75" customHeight="1">
      <c r="C3989"/>
      <c r="M3989"/>
    </row>
    <row r="3990" spans="3:13" ht="12.75" customHeight="1">
      <c r="C3990"/>
      <c r="M3990"/>
    </row>
    <row r="3991" spans="3:13" ht="12.75" customHeight="1">
      <c r="C3991"/>
      <c r="M3991"/>
    </row>
    <row r="3992" spans="3:13" ht="12.75" customHeight="1">
      <c r="C3992"/>
      <c r="M3992"/>
    </row>
    <row r="3993" spans="3:13" ht="12.75" customHeight="1">
      <c r="C3993"/>
      <c r="M3993"/>
    </row>
    <row r="3994" spans="3:13" ht="12.75" customHeight="1">
      <c r="C3994"/>
      <c r="M3994"/>
    </row>
    <row r="3995" spans="3:13" ht="12.75" customHeight="1">
      <c r="C3995"/>
      <c r="M3995"/>
    </row>
    <row r="3996" spans="3:13" ht="12.75" customHeight="1">
      <c r="C3996"/>
      <c r="M3996"/>
    </row>
    <row r="3997" spans="3:13" ht="12.75" customHeight="1">
      <c r="C3997"/>
      <c r="M3997"/>
    </row>
    <row r="3998" spans="3:13" ht="12.75" customHeight="1">
      <c r="C3998"/>
      <c r="M3998"/>
    </row>
    <row r="3999" spans="3:13" ht="12.75" customHeight="1">
      <c r="C3999"/>
      <c r="M3999"/>
    </row>
    <row r="4000" spans="3:13" ht="12.75" customHeight="1">
      <c r="C4000"/>
      <c r="M4000"/>
    </row>
    <row r="4001" spans="3:13" ht="12.75" customHeight="1">
      <c r="C4001"/>
      <c r="M4001"/>
    </row>
    <row r="4002" spans="3:13" ht="12.75" customHeight="1">
      <c r="C4002"/>
      <c r="M4002"/>
    </row>
    <row r="4003" spans="3:13" ht="12.75" customHeight="1">
      <c r="C4003"/>
      <c r="M4003"/>
    </row>
    <row r="4004" spans="3:13" ht="12.75" customHeight="1">
      <c r="C4004"/>
      <c r="M4004"/>
    </row>
    <row r="4005" spans="3:13" ht="12.75" customHeight="1">
      <c r="C4005"/>
      <c r="M4005"/>
    </row>
    <row r="4006" spans="3:13" ht="12.75" customHeight="1">
      <c r="C4006"/>
      <c r="M4006"/>
    </row>
    <row r="4007" spans="3:13" ht="12.75" customHeight="1">
      <c r="C4007"/>
      <c r="M4007"/>
    </row>
    <row r="4008" spans="3:13" ht="12.75" customHeight="1">
      <c r="C4008"/>
      <c r="M4008"/>
    </row>
    <row r="4009" spans="3:13" ht="12.75" customHeight="1">
      <c r="C4009"/>
      <c r="M4009"/>
    </row>
    <row r="4010" spans="3:13" ht="12.75" customHeight="1">
      <c r="C4010"/>
      <c r="M4010"/>
    </row>
    <row r="4011" spans="3:13" ht="12.75" customHeight="1">
      <c r="C4011"/>
      <c r="M4011"/>
    </row>
    <row r="4012" spans="3:13" ht="12.75" customHeight="1">
      <c r="C4012"/>
      <c r="M4012"/>
    </row>
    <row r="4013" spans="3:13" ht="12.75" customHeight="1">
      <c r="C4013"/>
      <c r="M4013"/>
    </row>
    <row r="4014" spans="3:13" ht="12.75" customHeight="1">
      <c r="C4014"/>
      <c r="M4014"/>
    </row>
    <row r="4015" spans="3:13" ht="12.75" customHeight="1">
      <c r="C4015"/>
      <c r="M4015"/>
    </row>
    <row r="4016" spans="3:13" ht="12.75" customHeight="1">
      <c r="C4016"/>
      <c r="M4016"/>
    </row>
    <row r="4017" spans="3:13" ht="12.75" customHeight="1">
      <c r="C4017"/>
      <c r="M4017"/>
    </row>
    <row r="4018" spans="3:13" ht="12.75" customHeight="1">
      <c r="C4018"/>
      <c r="M4018"/>
    </row>
    <row r="4019" spans="3:13" ht="12.75" customHeight="1">
      <c r="C4019"/>
      <c r="M4019"/>
    </row>
    <row r="4020" spans="3:13" ht="12.75" customHeight="1">
      <c r="C4020"/>
      <c r="M4020"/>
    </row>
    <row r="4021" spans="3:13" ht="12.75" customHeight="1">
      <c r="C4021"/>
      <c r="M4021"/>
    </row>
    <row r="4022" spans="3:13" ht="12.75" customHeight="1">
      <c r="C4022"/>
      <c r="M4022"/>
    </row>
    <row r="4023" spans="3:13" ht="12.75" customHeight="1">
      <c r="C4023"/>
      <c r="M4023"/>
    </row>
    <row r="4024" spans="3:13" ht="12.75" customHeight="1">
      <c r="C4024"/>
      <c r="M4024"/>
    </row>
    <row r="4025" spans="3:13" ht="12.75" customHeight="1">
      <c r="C4025"/>
      <c r="M4025"/>
    </row>
    <row r="4026" spans="3:13" ht="12.75" customHeight="1">
      <c r="C4026"/>
      <c r="M4026"/>
    </row>
    <row r="4027" spans="3:13" ht="12.75" customHeight="1">
      <c r="C4027"/>
      <c r="M4027"/>
    </row>
    <row r="4028" spans="3:13" ht="12.75" customHeight="1">
      <c r="C4028"/>
      <c r="M4028"/>
    </row>
    <row r="4029" spans="3:13" ht="12.75" customHeight="1">
      <c r="C4029"/>
      <c r="M4029"/>
    </row>
    <row r="4030" spans="3:13" ht="12.75" customHeight="1">
      <c r="C4030"/>
      <c r="M4030"/>
    </row>
    <row r="4031" spans="3:13" ht="12.75" customHeight="1">
      <c r="C4031"/>
      <c r="M4031"/>
    </row>
    <row r="4032" spans="3:13" ht="12.75" customHeight="1">
      <c r="C4032"/>
      <c r="M4032"/>
    </row>
    <row r="4033" spans="3:13" ht="12.75" customHeight="1">
      <c r="C4033"/>
      <c r="M4033"/>
    </row>
    <row r="4034" spans="3:13" ht="12.75" customHeight="1">
      <c r="C4034"/>
      <c r="M4034"/>
    </row>
    <row r="4035" spans="3:13" ht="12.75" customHeight="1">
      <c r="C4035"/>
      <c r="M4035"/>
    </row>
    <row r="4036" spans="3:13" ht="12.75" customHeight="1">
      <c r="C4036"/>
      <c r="M4036"/>
    </row>
    <row r="4037" spans="3:13" ht="12.75" customHeight="1">
      <c r="C4037"/>
      <c r="M4037"/>
    </row>
    <row r="4038" spans="3:13" ht="12.75" customHeight="1">
      <c r="C4038"/>
      <c r="M4038"/>
    </row>
    <row r="4039" spans="3:13" ht="12.75" customHeight="1">
      <c r="C4039"/>
      <c r="M4039"/>
    </row>
    <row r="4040" spans="3:13" ht="12.75" customHeight="1">
      <c r="C4040"/>
      <c r="M4040"/>
    </row>
    <row r="4041" spans="3:13" ht="12.75" customHeight="1">
      <c r="C4041"/>
      <c r="M4041"/>
    </row>
    <row r="4042" spans="3:13" ht="12.75" customHeight="1">
      <c r="C4042"/>
      <c r="M4042"/>
    </row>
    <row r="4043" spans="3:13" ht="12.75" customHeight="1">
      <c r="C4043"/>
      <c r="M4043"/>
    </row>
    <row r="4044" spans="3:13" ht="12.75" customHeight="1">
      <c r="C4044"/>
      <c r="M4044"/>
    </row>
    <row r="4045" spans="3:13" ht="12.75" customHeight="1">
      <c r="C4045"/>
      <c r="M4045"/>
    </row>
    <row r="4046" spans="3:13" ht="12.75" customHeight="1">
      <c r="C4046"/>
      <c r="M4046"/>
    </row>
    <row r="4047" spans="3:13" ht="12.75" customHeight="1">
      <c r="C4047"/>
      <c r="M4047"/>
    </row>
    <row r="4048" spans="3:13" ht="12.75" customHeight="1">
      <c r="C4048"/>
      <c r="M4048"/>
    </row>
    <row r="4049" spans="3:13" ht="12.75" customHeight="1">
      <c r="C4049"/>
      <c r="M4049"/>
    </row>
    <row r="4050" spans="3:13" ht="12.75" customHeight="1">
      <c r="C4050"/>
      <c r="M4050"/>
    </row>
    <row r="4051" spans="3:13" ht="12.75" customHeight="1">
      <c r="C4051"/>
      <c r="M4051"/>
    </row>
    <row r="4052" spans="3:13" ht="12.75" customHeight="1">
      <c r="C4052"/>
      <c r="M4052"/>
    </row>
    <row r="4053" spans="3:13" ht="12.75" customHeight="1">
      <c r="C4053"/>
      <c r="M4053"/>
    </row>
    <row r="4054" spans="3:13" ht="12.75" customHeight="1">
      <c r="C4054"/>
      <c r="M4054"/>
    </row>
    <row r="4055" spans="3:13" ht="12.75" customHeight="1">
      <c r="C4055"/>
      <c r="M4055"/>
    </row>
    <row r="4056" spans="3:13" ht="12.75" customHeight="1">
      <c r="C4056"/>
      <c r="M4056"/>
    </row>
    <row r="4057" spans="3:13" ht="12.75" customHeight="1">
      <c r="C4057"/>
      <c r="M4057"/>
    </row>
    <row r="4058" spans="3:13" ht="12.75" customHeight="1">
      <c r="C4058"/>
      <c r="M4058"/>
    </row>
    <row r="4059" spans="3:13" ht="12.75" customHeight="1">
      <c r="C4059"/>
      <c r="M4059"/>
    </row>
    <row r="4060" spans="3:13" ht="12.75" customHeight="1">
      <c r="C4060"/>
      <c r="M4060"/>
    </row>
    <row r="4061" spans="3:13" ht="12.75" customHeight="1">
      <c r="C4061"/>
      <c r="M4061"/>
    </row>
    <row r="4062" spans="3:13" ht="12.75" customHeight="1">
      <c r="C4062"/>
      <c r="M4062"/>
    </row>
    <row r="4063" spans="3:13" ht="12.75" customHeight="1">
      <c r="C4063"/>
      <c r="M4063"/>
    </row>
    <row r="4064" spans="3:13" ht="12.75" customHeight="1">
      <c r="C4064"/>
      <c r="M4064"/>
    </row>
    <row r="4065" spans="3:13" ht="12.75" customHeight="1">
      <c r="C4065"/>
      <c r="M4065"/>
    </row>
    <row r="4066" spans="3:13" ht="12.75" customHeight="1">
      <c r="C4066"/>
      <c r="M4066"/>
    </row>
    <row r="4067" spans="3:13" ht="12.75" customHeight="1">
      <c r="C4067"/>
      <c r="M4067"/>
    </row>
    <row r="4068" spans="3:13" ht="12.75" customHeight="1">
      <c r="C4068"/>
      <c r="M4068"/>
    </row>
    <row r="4069" spans="3:13" ht="12.75" customHeight="1">
      <c r="C4069"/>
      <c r="M4069"/>
    </row>
    <row r="4070" spans="3:13" ht="12.75" customHeight="1">
      <c r="C4070"/>
      <c r="M4070"/>
    </row>
    <row r="4071" spans="3:13" ht="12.75" customHeight="1">
      <c r="C4071"/>
      <c r="M4071"/>
    </row>
    <row r="4072" spans="3:13" ht="12.75" customHeight="1">
      <c r="C4072"/>
      <c r="M4072"/>
    </row>
    <row r="4073" spans="3:13" ht="12.75" customHeight="1">
      <c r="C4073"/>
      <c r="M4073"/>
    </row>
    <row r="4074" spans="3:13" ht="12.75" customHeight="1">
      <c r="C4074"/>
      <c r="M4074"/>
    </row>
    <row r="4075" spans="3:13" ht="12.75" customHeight="1">
      <c r="C4075"/>
      <c r="M4075"/>
    </row>
    <row r="4076" spans="3:13" ht="12.75" customHeight="1">
      <c r="C4076"/>
      <c r="M4076"/>
    </row>
    <row r="4077" spans="3:13" ht="12.75" customHeight="1">
      <c r="C4077"/>
      <c r="M4077"/>
    </row>
    <row r="4078" spans="3:13" ht="12.75" customHeight="1">
      <c r="C4078"/>
      <c r="M4078"/>
    </row>
    <row r="4079" spans="3:13" ht="12.75" customHeight="1">
      <c r="C4079"/>
      <c r="M4079"/>
    </row>
    <row r="4080" spans="3:13" ht="12.75" customHeight="1">
      <c r="C4080"/>
      <c r="M4080"/>
    </row>
    <row r="4081" spans="3:13" ht="12.75" customHeight="1">
      <c r="C4081"/>
      <c r="M4081"/>
    </row>
    <row r="4082" spans="3:13" ht="12.75" customHeight="1">
      <c r="C4082"/>
      <c r="M4082"/>
    </row>
    <row r="4083" spans="3:13" ht="12.75" customHeight="1">
      <c r="C4083"/>
      <c r="M4083"/>
    </row>
    <row r="4084" spans="3:13" ht="12.75" customHeight="1">
      <c r="C4084"/>
      <c r="M4084"/>
    </row>
    <row r="4085" spans="3:13" ht="12.75" customHeight="1">
      <c r="C4085"/>
      <c r="M4085"/>
    </row>
    <row r="4086" spans="3:13" ht="12.75" customHeight="1">
      <c r="C4086"/>
      <c r="M4086"/>
    </row>
    <row r="4087" spans="3:13" ht="12.75" customHeight="1">
      <c r="C4087"/>
      <c r="M4087"/>
    </row>
    <row r="4088" spans="3:13" ht="12.75" customHeight="1">
      <c r="C4088"/>
      <c r="M4088"/>
    </row>
    <row r="4089" spans="3:13" ht="12.75" customHeight="1">
      <c r="C4089"/>
      <c r="M4089"/>
    </row>
    <row r="4090" spans="3:13" ht="12.75" customHeight="1">
      <c r="C4090"/>
      <c r="M4090"/>
    </row>
    <row r="4091" spans="3:13" ht="12.75" customHeight="1">
      <c r="C4091"/>
      <c r="M4091"/>
    </row>
    <row r="4092" spans="3:13" ht="12.75" customHeight="1">
      <c r="C4092"/>
      <c r="M4092"/>
    </row>
    <row r="4093" spans="3:13" ht="12.75" customHeight="1">
      <c r="C4093"/>
      <c r="M4093"/>
    </row>
    <row r="4094" spans="3:13" ht="12.75" customHeight="1">
      <c r="C4094"/>
      <c r="M4094"/>
    </row>
    <row r="4095" spans="3:13" ht="12.75" customHeight="1">
      <c r="C4095"/>
      <c r="M4095"/>
    </row>
    <row r="4096" spans="3:13" ht="12.75" customHeight="1">
      <c r="C4096"/>
      <c r="M4096"/>
    </row>
    <row r="4097" spans="3:13" ht="12.75" customHeight="1">
      <c r="C4097"/>
      <c r="M4097"/>
    </row>
    <row r="4098" spans="3:13" ht="12.75" customHeight="1">
      <c r="C4098"/>
      <c r="M4098"/>
    </row>
    <row r="4099" spans="3:13" ht="12.75" customHeight="1">
      <c r="C4099"/>
      <c r="M4099"/>
    </row>
    <row r="4100" spans="3:13" ht="12.75" customHeight="1">
      <c r="C4100"/>
      <c r="M4100"/>
    </row>
    <row r="4101" spans="3:13" ht="12.75" customHeight="1">
      <c r="C4101"/>
      <c r="M4101"/>
    </row>
    <row r="4102" spans="3:13" ht="12.75" customHeight="1">
      <c r="C4102"/>
      <c r="M4102"/>
    </row>
    <row r="4103" spans="3:13" ht="12.75" customHeight="1">
      <c r="C4103"/>
      <c r="M4103"/>
    </row>
    <row r="4104" spans="3:13" ht="12.75" customHeight="1">
      <c r="C4104"/>
      <c r="M4104"/>
    </row>
    <row r="4105" spans="3:13" ht="12.75" customHeight="1">
      <c r="C4105"/>
      <c r="M4105"/>
    </row>
    <row r="4106" spans="3:13" ht="12.75" customHeight="1">
      <c r="C4106"/>
      <c r="M4106"/>
    </row>
    <row r="4107" spans="3:13" ht="12.75" customHeight="1">
      <c r="C4107"/>
      <c r="M4107"/>
    </row>
    <row r="4108" spans="3:13" ht="12.75" customHeight="1">
      <c r="C4108"/>
      <c r="M4108"/>
    </row>
    <row r="4109" spans="3:13" ht="12.75" customHeight="1">
      <c r="C4109"/>
      <c r="M4109"/>
    </row>
    <row r="4110" spans="3:13" ht="12.75" customHeight="1">
      <c r="C4110"/>
      <c r="M4110"/>
    </row>
    <row r="4111" spans="3:13" ht="12.75" customHeight="1">
      <c r="C4111"/>
      <c r="M4111"/>
    </row>
    <row r="4112" spans="3:13" ht="12.75" customHeight="1">
      <c r="C4112"/>
      <c r="M4112"/>
    </row>
    <row r="4113" spans="3:13" ht="12.75" customHeight="1">
      <c r="C4113"/>
      <c r="M4113"/>
    </row>
    <row r="4114" spans="3:13" ht="12.75" customHeight="1">
      <c r="C4114"/>
      <c r="M4114"/>
    </row>
    <row r="4115" spans="3:13" ht="12.75" customHeight="1">
      <c r="C4115"/>
      <c r="M4115"/>
    </row>
    <row r="4116" spans="3:13" ht="12.75" customHeight="1">
      <c r="C4116"/>
      <c r="M4116"/>
    </row>
    <row r="4117" spans="3:13" ht="12.75" customHeight="1">
      <c r="C4117"/>
      <c r="M4117"/>
    </row>
    <row r="4118" spans="3:13" ht="12.75" customHeight="1">
      <c r="C4118"/>
      <c r="M4118"/>
    </row>
    <row r="4119" spans="3:13" ht="12.75" customHeight="1">
      <c r="C4119"/>
      <c r="M4119"/>
    </row>
    <row r="4120" spans="3:13" ht="12.75" customHeight="1">
      <c r="C4120"/>
      <c r="M4120"/>
    </row>
    <row r="4121" spans="3:13" ht="12.75" customHeight="1">
      <c r="C4121"/>
      <c r="M4121"/>
    </row>
    <row r="4122" spans="3:13" ht="12.75" customHeight="1">
      <c r="C4122"/>
      <c r="M4122"/>
    </row>
    <row r="4123" spans="3:13" ht="12.75" customHeight="1">
      <c r="C4123"/>
      <c r="M4123"/>
    </row>
    <row r="4124" spans="3:13" ht="12.75" customHeight="1">
      <c r="C4124"/>
      <c r="M4124"/>
    </row>
    <row r="4125" spans="3:13" ht="12.75" customHeight="1">
      <c r="C4125"/>
      <c r="M4125"/>
    </row>
    <row r="4126" spans="3:13" ht="12.75" customHeight="1">
      <c r="C4126"/>
      <c r="M4126"/>
    </row>
    <row r="4127" spans="3:13" ht="12.75" customHeight="1">
      <c r="C4127"/>
      <c r="M4127"/>
    </row>
    <row r="4128" spans="3:13" ht="12.75" customHeight="1">
      <c r="C4128"/>
      <c r="M4128"/>
    </row>
    <row r="4129" spans="3:13" ht="12.75" customHeight="1">
      <c r="C4129"/>
      <c r="M4129"/>
    </row>
    <row r="4130" spans="3:13" ht="12.75" customHeight="1">
      <c r="C4130"/>
      <c r="M4130"/>
    </row>
    <row r="4131" spans="3:13" ht="12.75" customHeight="1">
      <c r="C4131"/>
      <c r="M4131"/>
    </row>
    <row r="4132" spans="3:13" ht="12.75" customHeight="1">
      <c r="C4132"/>
      <c r="M4132"/>
    </row>
    <row r="4133" spans="3:13" ht="12.75" customHeight="1">
      <c r="C4133"/>
      <c r="M4133"/>
    </row>
    <row r="4134" spans="3:13" ht="12.75" customHeight="1">
      <c r="C4134"/>
      <c r="M4134"/>
    </row>
    <row r="4135" spans="3:13" ht="12.75" customHeight="1">
      <c r="C4135"/>
      <c r="M4135"/>
    </row>
    <row r="4136" spans="3:13" ht="12.75" customHeight="1">
      <c r="C4136"/>
      <c r="M4136"/>
    </row>
    <row r="4137" spans="3:13" ht="12.75" customHeight="1">
      <c r="C4137"/>
      <c r="M4137"/>
    </row>
    <row r="4138" spans="3:13" ht="12.75" customHeight="1">
      <c r="C4138"/>
      <c r="M4138"/>
    </row>
    <row r="4139" spans="3:13" ht="12.75" customHeight="1">
      <c r="C4139"/>
      <c r="M4139"/>
    </row>
    <row r="4140" spans="3:13" ht="12.75" customHeight="1">
      <c r="C4140"/>
      <c r="M4140"/>
    </row>
    <row r="4141" spans="3:13" ht="12.75" customHeight="1">
      <c r="C4141"/>
      <c r="M4141"/>
    </row>
    <row r="4142" spans="3:13" ht="12.75" customHeight="1">
      <c r="C4142"/>
      <c r="M4142"/>
    </row>
    <row r="4143" spans="3:13" ht="12.75" customHeight="1">
      <c r="C4143"/>
      <c r="M4143"/>
    </row>
    <row r="4144" spans="3:13" ht="12.75" customHeight="1">
      <c r="C4144"/>
      <c r="M4144"/>
    </row>
    <row r="4145" spans="3:13" ht="12.75" customHeight="1">
      <c r="C4145"/>
      <c r="M4145"/>
    </row>
    <row r="4146" spans="3:13" ht="12.75" customHeight="1">
      <c r="C4146"/>
      <c r="M4146"/>
    </row>
    <row r="4147" spans="3:13" ht="12.75" customHeight="1">
      <c r="C4147"/>
      <c r="M4147"/>
    </row>
    <row r="4148" spans="3:13" ht="12.75" customHeight="1">
      <c r="C4148"/>
      <c r="M4148"/>
    </row>
    <row r="4149" spans="3:13" ht="12.75" customHeight="1">
      <c r="C4149"/>
      <c r="M4149"/>
    </row>
    <row r="4150" spans="3:13" ht="12.75" customHeight="1">
      <c r="C4150"/>
      <c r="M4150"/>
    </row>
    <row r="4151" spans="3:13" ht="12.75" customHeight="1">
      <c r="C4151"/>
      <c r="M4151"/>
    </row>
    <row r="4152" spans="3:13" ht="12.75" customHeight="1">
      <c r="C4152"/>
      <c r="M4152"/>
    </row>
    <row r="4153" spans="3:13" ht="12.75" customHeight="1">
      <c r="C4153"/>
      <c r="M4153"/>
    </row>
    <row r="4154" spans="3:13" ht="12.75" customHeight="1">
      <c r="C4154"/>
      <c r="M4154"/>
    </row>
    <row r="4155" spans="3:13" ht="12.75" customHeight="1">
      <c r="C4155"/>
      <c r="M4155"/>
    </row>
    <row r="4156" spans="3:13" ht="12.75" customHeight="1">
      <c r="C4156"/>
      <c r="M4156"/>
    </row>
    <row r="4157" spans="3:13" ht="12.75" customHeight="1">
      <c r="C4157"/>
      <c r="M4157"/>
    </row>
    <row r="4158" spans="3:13" ht="12.75" customHeight="1">
      <c r="C4158"/>
      <c r="M4158"/>
    </row>
    <row r="4159" spans="3:13" ht="12.75" customHeight="1">
      <c r="C4159"/>
      <c r="M4159"/>
    </row>
    <row r="4160" spans="3:13" ht="12.75" customHeight="1">
      <c r="C4160"/>
      <c r="M4160"/>
    </row>
    <row r="4161" spans="3:13" ht="12.75" customHeight="1">
      <c r="C4161"/>
      <c r="M4161"/>
    </row>
    <row r="4162" spans="3:13" ht="12.75" customHeight="1">
      <c r="C4162"/>
      <c r="M4162"/>
    </row>
    <row r="4163" spans="3:13" ht="12.75" customHeight="1">
      <c r="C4163"/>
      <c r="M4163"/>
    </row>
    <row r="4164" spans="3:13" ht="12.75" customHeight="1">
      <c r="C4164"/>
      <c r="M4164"/>
    </row>
    <row r="4165" spans="3:13" ht="12.75" customHeight="1">
      <c r="C4165"/>
      <c r="M4165"/>
    </row>
    <row r="4166" spans="3:13" ht="12.75" customHeight="1">
      <c r="C4166"/>
      <c r="M4166"/>
    </row>
    <row r="4167" spans="3:13" ht="12.75" customHeight="1">
      <c r="C4167"/>
      <c r="M4167"/>
    </row>
    <row r="4168" spans="3:13" ht="12.75" customHeight="1">
      <c r="C4168"/>
      <c r="M4168"/>
    </row>
    <row r="4169" spans="3:13" ht="12.75" customHeight="1">
      <c r="C4169"/>
      <c r="M4169"/>
    </row>
    <row r="4170" spans="3:13" ht="12.75" customHeight="1">
      <c r="C4170"/>
      <c r="M4170"/>
    </row>
    <row r="4171" spans="3:13" ht="12.75" customHeight="1">
      <c r="C4171"/>
      <c r="M4171"/>
    </row>
    <row r="4172" spans="3:13" ht="12.75" customHeight="1">
      <c r="C4172"/>
      <c r="M4172"/>
    </row>
    <row r="4173" spans="3:13" ht="12.75" customHeight="1">
      <c r="C4173"/>
      <c r="M4173"/>
    </row>
    <row r="4174" spans="3:13" ht="12.75" customHeight="1">
      <c r="C4174"/>
      <c r="M4174"/>
    </row>
    <row r="4175" spans="3:13" ht="12.75" customHeight="1">
      <c r="C4175"/>
      <c r="M4175"/>
    </row>
    <row r="4176" spans="3:13" ht="12.75" customHeight="1">
      <c r="C4176"/>
      <c r="M4176"/>
    </row>
    <row r="4177" spans="3:13" ht="12.75" customHeight="1">
      <c r="C4177"/>
      <c r="M4177"/>
    </row>
    <row r="4178" spans="3:13" ht="12.75" customHeight="1">
      <c r="C4178"/>
      <c r="M4178"/>
    </row>
    <row r="4179" spans="3:13" ht="12.75" customHeight="1">
      <c r="C4179"/>
      <c r="M4179"/>
    </row>
    <row r="4180" spans="3:13" ht="12.75" customHeight="1">
      <c r="C4180"/>
      <c r="M4180"/>
    </row>
    <row r="4181" spans="3:13" ht="12.75" customHeight="1">
      <c r="C4181"/>
      <c r="M4181"/>
    </row>
    <row r="4182" spans="3:13" ht="12.75" customHeight="1">
      <c r="C4182"/>
      <c r="M4182"/>
    </row>
    <row r="4183" spans="3:13" ht="12.75" customHeight="1">
      <c r="C4183"/>
      <c r="M4183"/>
    </row>
    <row r="4184" spans="3:13" ht="12.75" customHeight="1">
      <c r="C4184"/>
      <c r="M4184"/>
    </row>
    <row r="4185" spans="3:13" ht="12.75" customHeight="1">
      <c r="C4185"/>
      <c r="M4185"/>
    </row>
    <row r="4186" spans="3:13" ht="12.75" customHeight="1">
      <c r="C4186"/>
      <c r="M4186"/>
    </row>
    <row r="4187" spans="3:13" ht="12.75" customHeight="1">
      <c r="C4187"/>
      <c r="M4187"/>
    </row>
    <row r="4188" spans="3:13" ht="12.75" customHeight="1">
      <c r="C4188"/>
      <c r="M4188"/>
    </row>
    <row r="4189" spans="3:13" ht="12.75" customHeight="1">
      <c r="C4189"/>
      <c r="M4189"/>
    </row>
    <row r="4190" spans="3:13" ht="12.75" customHeight="1">
      <c r="C4190"/>
      <c r="M4190"/>
    </row>
    <row r="4191" spans="3:13" ht="12.75" customHeight="1">
      <c r="C4191"/>
      <c r="M4191"/>
    </row>
    <row r="4192" spans="3:13" ht="12.75" customHeight="1">
      <c r="C4192"/>
      <c r="M4192"/>
    </row>
    <row r="4193" spans="3:13" ht="12.75" customHeight="1">
      <c r="C4193"/>
      <c r="M4193"/>
    </row>
    <row r="4194" spans="3:13" ht="12.75" customHeight="1">
      <c r="C4194"/>
      <c r="M4194"/>
    </row>
    <row r="4195" spans="3:13" ht="12.75" customHeight="1">
      <c r="C4195"/>
      <c r="M4195"/>
    </row>
    <row r="4196" spans="3:13" ht="12.75" customHeight="1">
      <c r="C4196"/>
      <c r="M4196"/>
    </row>
    <row r="4197" spans="3:13" ht="12.75" customHeight="1">
      <c r="C4197"/>
      <c r="M4197"/>
    </row>
    <row r="4198" spans="3:13" ht="12.75" customHeight="1">
      <c r="C4198"/>
      <c r="M4198"/>
    </row>
    <row r="4199" spans="3:13" ht="12.75" customHeight="1">
      <c r="C4199"/>
      <c r="M4199"/>
    </row>
    <row r="4200" spans="3:13" ht="12.75" customHeight="1">
      <c r="C4200"/>
      <c r="M4200"/>
    </row>
    <row r="4201" spans="3:13" ht="12.75" customHeight="1">
      <c r="C4201"/>
      <c r="M4201"/>
    </row>
    <row r="4202" spans="3:13" ht="12.75" customHeight="1">
      <c r="C4202"/>
      <c r="M4202"/>
    </row>
    <row r="4203" spans="3:13" ht="12.75" customHeight="1">
      <c r="C4203"/>
      <c r="M4203"/>
    </row>
    <row r="4204" spans="3:13" ht="12.75" customHeight="1">
      <c r="C4204"/>
      <c r="M4204"/>
    </row>
    <row r="4205" spans="3:13" ht="12.75" customHeight="1">
      <c r="C4205"/>
      <c r="M4205"/>
    </row>
    <row r="4206" spans="3:13" ht="12.75" customHeight="1">
      <c r="C4206"/>
      <c r="M4206"/>
    </row>
    <row r="4207" spans="3:13" ht="12.75" customHeight="1">
      <c r="C4207"/>
      <c r="M4207"/>
    </row>
    <row r="4208" spans="3:13" ht="12.75" customHeight="1">
      <c r="C4208"/>
      <c r="M4208"/>
    </row>
    <row r="4209" spans="3:13" ht="12.75" customHeight="1">
      <c r="C4209"/>
      <c r="M4209"/>
    </row>
    <row r="4210" spans="3:13" ht="12.75" customHeight="1">
      <c r="C4210"/>
      <c r="M4210"/>
    </row>
    <row r="4211" spans="3:13" ht="12.75" customHeight="1">
      <c r="C4211"/>
      <c r="M4211"/>
    </row>
    <row r="4212" spans="3:13" ht="12.75" customHeight="1">
      <c r="C4212"/>
      <c r="M4212"/>
    </row>
    <row r="4213" spans="3:13" ht="12.75" customHeight="1">
      <c r="C4213"/>
      <c r="M4213"/>
    </row>
    <row r="4214" spans="3:13" ht="12.75" customHeight="1">
      <c r="C4214"/>
      <c r="M4214"/>
    </row>
    <row r="4215" spans="3:13" ht="12.75" customHeight="1">
      <c r="C4215"/>
      <c r="M4215"/>
    </row>
    <row r="4216" spans="3:13" ht="12.75" customHeight="1">
      <c r="C4216"/>
      <c r="M4216"/>
    </row>
    <row r="4217" spans="3:13" ht="12.75" customHeight="1">
      <c r="C4217"/>
      <c r="M4217"/>
    </row>
    <row r="4218" spans="3:13" ht="12.75" customHeight="1">
      <c r="C4218"/>
      <c r="M4218"/>
    </row>
    <row r="4219" spans="3:13" ht="12.75" customHeight="1">
      <c r="C4219"/>
      <c r="M4219"/>
    </row>
    <row r="4220" spans="3:13" ht="12.75" customHeight="1">
      <c r="C4220"/>
      <c r="M4220"/>
    </row>
    <row r="4221" spans="3:13" ht="12.75" customHeight="1">
      <c r="C4221"/>
      <c r="M4221"/>
    </row>
    <row r="4222" spans="3:13" ht="12.75" customHeight="1">
      <c r="C4222"/>
      <c r="M4222"/>
    </row>
    <row r="4223" spans="3:13" ht="12.75" customHeight="1">
      <c r="C4223"/>
      <c r="M4223"/>
    </row>
    <row r="4224" spans="3:13" ht="12.75" customHeight="1">
      <c r="C4224"/>
      <c r="M4224"/>
    </row>
    <row r="4225" spans="3:13" ht="12.75" customHeight="1">
      <c r="C4225"/>
      <c r="M4225"/>
    </row>
    <row r="4226" spans="3:13" ht="12.75" customHeight="1">
      <c r="C4226"/>
      <c r="M4226"/>
    </row>
    <row r="4227" spans="3:13" ht="12.75" customHeight="1">
      <c r="C4227"/>
      <c r="M4227"/>
    </row>
    <row r="4228" spans="3:13" ht="12.75" customHeight="1">
      <c r="C4228"/>
      <c r="M4228"/>
    </row>
    <row r="4229" spans="3:13" ht="12.75" customHeight="1">
      <c r="C4229"/>
      <c r="M4229"/>
    </row>
    <row r="4230" spans="3:13" ht="12.75" customHeight="1">
      <c r="C4230"/>
      <c r="M4230"/>
    </row>
    <row r="4231" spans="3:13" ht="12.75" customHeight="1">
      <c r="C4231"/>
      <c r="M4231"/>
    </row>
    <row r="4232" spans="3:13" ht="12.75" customHeight="1">
      <c r="C4232"/>
      <c r="M4232"/>
    </row>
    <row r="4233" spans="3:13" ht="12.75" customHeight="1">
      <c r="C4233"/>
      <c r="M4233"/>
    </row>
    <row r="4234" spans="3:13" ht="12.75" customHeight="1">
      <c r="C4234"/>
      <c r="M4234"/>
    </row>
    <row r="4235" spans="3:13" ht="12.75" customHeight="1">
      <c r="C4235"/>
      <c r="M4235"/>
    </row>
    <row r="4236" spans="3:13" ht="12.75" customHeight="1">
      <c r="C4236"/>
      <c r="M4236"/>
    </row>
    <row r="4237" spans="3:13" ht="12.75" customHeight="1">
      <c r="C4237"/>
      <c r="M4237"/>
    </row>
    <row r="4238" spans="3:13" ht="12.75" customHeight="1">
      <c r="C4238"/>
      <c r="M4238"/>
    </row>
    <row r="4239" spans="3:13" ht="12.75" customHeight="1">
      <c r="C4239"/>
      <c r="M4239"/>
    </row>
    <row r="4240" spans="3:13" ht="12.75" customHeight="1">
      <c r="C4240"/>
      <c r="M4240"/>
    </row>
    <row r="4241" spans="3:13" ht="12.75" customHeight="1">
      <c r="C4241"/>
      <c r="M4241"/>
    </row>
    <row r="4242" spans="3:13" ht="12.75" customHeight="1">
      <c r="C4242"/>
      <c r="M4242"/>
    </row>
    <row r="4243" spans="3:13" ht="12.75" customHeight="1">
      <c r="C4243"/>
      <c r="M4243"/>
    </row>
    <row r="4244" spans="3:13" ht="12.75" customHeight="1">
      <c r="C4244"/>
      <c r="M4244"/>
    </row>
    <row r="4245" spans="3:13" ht="12.75" customHeight="1">
      <c r="C4245"/>
      <c r="M4245"/>
    </row>
    <row r="4246" spans="3:13" ht="12.75" customHeight="1">
      <c r="C4246"/>
      <c r="M4246"/>
    </row>
    <row r="4247" spans="3:13" ht="12.75" customHeight="1">
      <c r="C4247"/>
      <c r="M4247"/>
    </row>
    <row r="4248" spans="3:13" ht="12.75" customHeight="1">
      <c r="C4248"/>
      <c r="M4248"/>
    </row>
    <row r="4249" spans="3:13" ht="12.75" customHeight="1">
      <c r="C4249"/>
      <c r="M4249"/>
    </row>
    <row r="4250" spans="3:13" ht="12.75" customHeight="1">
      <c r="C4250"/>
      <c r="M4250"/>
    </row>
    <row r="4251" spans="3:13" ht="12.75" customHeight="1">
      <c r="C4251"/>
      <c r="M4251"/>
    </row>
    <row r="4252" spans="3:13" ht="12.75" customHeight="1">
      <c r="C4252"/>
      <c r="M4252"/>
    </row>
    <row r="4253" spans="3:13" ht="12.75" customHeight="1">
      <c r="C4253"/>
      <c r="M4253"/>
    </row>
    <row r="4254" spans="3:13" ht="12.75" customHeight="1">
      <c r="C4254"/>
      <c r="M4254"/>
    </row>
    <row r="4255" spans="3:13" ht="12.75" customHeight="1">
      <c r="C4255"/>
      <c r="M4255"/>
    </row>
    <row r="4256" spans="3:13" ht="12.75" customHeight="1">
      <c r="C4256"/>
      <c r="M4256"/>
    </row>
    <row r="4257" spans="3:13" ht="12.75" customHeight="1">
      <c r="C4257"/>
      <c r="M4257"/>
    </row>
    <row r="4258" spans="3:13" ht="12.75" customHeight="1">
      <c r="C4258"/>
      <c r="M4258"/>
    </row>
    <row r="4259" spans="3:13" ht="12.75" customHeight="1">
      <c r="C4259"/>
      <c r="M4259"/>
    </row>
    <row r="4260" spans="3:13" ht="12.75" customHeight="1">
      <c r="C4260"/>
      <c r="M4260"/>
    </row>
    <row r="4261" spans="3:13" ht="12.75" customHeight="1">
      <c r="C4261"/>
      <c r="M4261"/>
    </row>
    <row r="4262" spans="3:13" ht="12.75" customHeight="1">
      <c r="C4262"/>
      <c r="M4262"/>
    </row>
    <row r="4263" spans="3:13" ht="12.75" customHeight="1">
      <c r="C4263"/>
      <c r="M4263"/>
    </row>
    <row r="4264" spans="3:13" ht="12.75" customHeight="1">
      <c r="C4264"/>
      <c r="M4264"/>
    </row>
    <row r="4265" spans="3:13" ht="12.75" customHeight="1">
      <c r="C4265"/>
      <c r="M4265"/>
    </row>
    <row r="4266" spans="3:13" ht="12.75" customHeight="1">
      <c r="C4266"/>
      <c r="M4266"/>
    </row>
    <row r="4267" spans="3:13" ht="12.75" customHeight="1">
      <c r="C4267"/>
      <c r="M4267"/>
    </row>
    <row r="4268" spans="3:13" ht="12.75" customHeight="1">
      <c r="C4268"/>
      <c r="M4268"/>
    </row>
    <row r="4269" spans="3:13" ht="12.75" customHeight="1">
      <c r="C4269"/>
      <c r="M4269"/>
    </row>
    <row r="4270" spans="3:13" ht="12.75" customHeight="1">
      <c r="C4270"/>
      <c r="M4270"/>
    </row>
    <row r="4271" spans="3:13" ht="12.75" customHeight="1">
      <c r="C4271"/>
      <c r="M4271"/>
    </row>
    <row r="4272" spans="3:13" ht="12.75" customHeight="1">
      <c r="C4272"/>
      <c r="M4272"/>
    </row>
    <row r="4273" spans="3:13" ht="12.75" customHeight="1">
      <c r="C4273"/>
      <c r="M4273"/>
    </row>
    <row r="4274" spans="3:13" ht="12.75" customHeight="1">
      <c r="C4274"/>
      <c r="M4274"/>
    </row>
    <row r="4275" spans="3:13" ht="12.75" customHeight="1">
      <c r="C4275"/>
      <c r="M4275"/>
    </row>
    <row r="4276" spans="3:13" ht="12.75" customHeight="1">
      <c r="C4276"/>
      <c r="M4276"/>
    </row>
    <row r="4277" spans="3:13" ht="12.75" customHeight="1">
      <c r="C4277"/>
      <c r="M4277"/>
    </row>
    <row r="4278" spans="3:13" ht="12.75" customHeight="1">
      <c r="C4278"/>
      <c r="M4278"/>
    </row>
    <row r="4279" spans="3:13" ht="12.75" customHeight="1">
      <c r="C4279"/>
      <c r="M4279"/>
    </row>
    <row r="4280" spans="3:13" ht="12.75" customHeight="1">
      <c r="C4280"/>
      <c r="M4280"/>
    </row>
    <row r="4281" spans="3:13" ht="12.75" customHeight="1">
      <c r="C4281"/>
      <c r="M4281"/>
    </row>
    <row r="4282" spans="3:13" ht="12.75" customHeight="1">
      <c r="C4282"/>
      <c r="M4282"/>
    </row>
    <row r="4283" spans="3:13" ht="12.75" customHeight="1">
      <c r="C4283"/>
      <c r="M4283"/>
    </row>
    <row r="4284" spans="3:13" ht="12.75" customHeight="1">
      <c r="C4284"/>
      <c r="M4284"/>
    </row>
    <row r="4294" spans="3:13" ht="12.75" customHeight="1">
      <c r="C4294"/>
      <c r="M4294"/>
    </row>
    <row r="4295" spans="3:13" ht="12.75" customHeight="1">
      <c r="C4295"/>
      <c r="M4295"/>
    </row>
    <row r="4296" spans="3:13" ht="12.75" customHeight="1">
      <c r="C4296"/>
      <c r="M4296"/>
    </row>
    <row r="4297" spans="3:13" ht="12.75" customHeight="1">
      <c r="C4297"/>
      <c r="M4297"/>
    </row>
    <row r="60955" spans="3:13" ht="12.75" customHeight="1">
      <c r="C60955"/>
      <c r="M60955"/>
    </row>
    <row r="60971" spans="3:13" ht="12.75" customHeight="1">
      <c r="C60971"/>
      <c r="M60971"/>
    </row>
    <row r="60987" spans="3:13" ht="12.75" customHeight="1">
      <c r="C60987"/>
      <c r="M60987"/>
    </row>
    <row r="61003" spans="3:13" ht="12.75" customHeight="1">
      <c r="C61003"/>
      <c r="M61003"/>
    </row>
    <row r="61016" spans="3:13" ht="12.75" customHeight="1">
      <c r="C61016"/>
      <c r="M61016"/>
    </row>
    <row r="61017" spans="3:13" ht="12.75" customHeight="1">
      <c r="C61017"/>
      <c r="M61017"/>
    </row>
    <row r="61019" spans="3:13" ht="12.75" customHeight="1">
      <c r="C61019"/>
      <c r="M61019"/>
    </row>
    <row r="61030" spans="3:13" ht="12.75" customHeight="1">
      <c r="C61030"/>
      <c r="M61030"/>
    </row>
    <row r="61031" spans="3:13" ht="12.75" customHeight="1">
      <c r="C61031"/>
      <c r="M61031"/>
    </row>
    <row r="61032" spans="3:13" ht="12.75" customHeight="1">
      <c r="C61032"/>
      <c r="M61032"/>
    </row>
    <row r="61033" spans="3:13" ht="12.75" customHeight="1">
      <c r="C61033"/>
      <c r="M61033"/>
    </row>
    <row r="61035" spans="3:13" ht="12.75" customHeight="1">
      <c r="C61035"/>
      <c r="M61035"/>
    </row>
    <row r="61046" spans="3:13" ht="12.75" customHeight="1">
      <c r="C61046"/>
      <c r="M61046"/>
    </row>
    <row r="61047" spans="3:13" ht="12.75" customHeight="1">
      <c r="C61047"/>
      <c r="M61047"/>
    </row>
    <row r="61048" spans="3:13" ht="12.75" customHeight="1">
      <c r="C61048"/>
      <c r="M61048"/>
    </row>
    <row r="61049" spans="3:13" ht="12.75" customHeight="1">
      <c r="C61049"/>
      <c r="M61049"/>
    </row>
    <row r="61051" spans="3:13" ht="12.75" customHeight="1">
      <c r="C61051"/>
      <c r="M61051"/>
    </row>
    <row r="61062" spans="3:13" ht="12.75" customHeight="1">
      <c r="C61062"/>
      <c r="M61062"/>
    </row>
    <row r="61063" spans="3:13" ht="12.75" customHeight="1">
      <c r="C61063"/>
      <c r="M61063"/>
    </row>
    <row r="61064" spans="3:13" ht="12.75" customHeight="1">
      <c r="C61064"/>
      <c r="M61064"/>
    </row>
    <row r="61065" spans="3:13" ht="12.75" customHeight="1">
      <c r="C61065"/>
      <c r="M61065"/>
    </row>
    <row r="61067" spans="3:13" ht="12.75" customHeight="1">
      <c r="C61067"/>
      <c r="M61067"/>
    </row>
    <row r="61078" spans="3:13" ht="12.75" customHeight="1">
      <c r="C61078"/>
      <c r="M61078"/>
    </row>
    <row r="61079" spans="3:13" ht="12.75" customHeight="1">
      <c r="C61079"/>
      <c r="M61079"/>
    </row>
    <row r="61080" spans="3:13" ht="12.75" customHeight="1">
      <c r="C61080"/>
      <c r="M61080"/>
    </row>
    <row r="61081" spans="3:13" ht="12.75" customHeight="1">
      <c r="C61081"/>
      <c r="M61081"/>
    </row>
    <row r="61083" spans="3:13" ht="12.75" customHeight="1">
      <c r="C61083"/>
      <c r="M61083"/>
    </row>
    <row r="61094" spans="3:13" ht="12.75" customHeight="1">
      <c r="C61094"/>
      <c r="M61094"/>
    </row>
    <row r="61095" spans="3:13" ht="12.75" customHeight="1">
      <c r="C61095"/>
      <c r="M61095"/>
    </row>
    <row r="61096" spans="3:13" ht="12.75" customHeight="1">
      <c r="C61096"/>
      <c r="M61096"/>
    </row>
    <row r="61097" spans="3:13" ht="12.75" customHeight="1">
      <c r="C61097"/>
      <c r="M61097"/>
    </row>
    <row r="61099" spans="3:13" ht="12.75" customHeight="1">
      <c r="C61099"/>
      <c r="M61099"/>
    </row>
    <row r="61110" spans="3:13" ht="12.75" customHeight="1">
      <c r="C61110"/>
      <c r="M61110"/>
    </row>
    <row r="61111" spans="3:13" ht="12.75" customHeight="1">
      <c r="C61111"/>
      <c r="M61111"/>
    </row>
    <row r="61112" spans="3:13" ht="12.75" customHeight="1">
      <c r="C61112"/>
      <c r="M61112"/>
    </row>
    <row r="61113" spans="3:13" ht="12.75" customHeight="1">
      <c r="C61113"/>
      <c r="M61113"/>
    </row>
    <row r="61115" spans="3:13" ht="12.75" customHeight="1">
      <c r="C61115"/>
      <c r="M61115"/>
    </row>
    <row r="61126" spans="3:13" ht="12.75" customHeight="1">
      <c r="C61126"/>
      <c r="M61126"/>
    </row>
    <row r="61127" spans="3:13" ht="12.75" customHeight="1">
      <c r="C61127"/>
      <c r="M61127"/>
    </row>
    <row r="61128" spans="3:13" ht="12.75" customHeight="1">
      <c r="C61128"/>
      <c r="M61128"/>
    </row>
    <row r="61129" spans="3:13" ht="12.75" customHeight="1">
      <c r="C61129"/>
      <c r="M61129"/>
    </row>
    <row r="61131" spans="3:13" ht="12.75" customHeight="1">
      <c r="C61131"/>
      <c r="M61131"/>
    </row>
    <row r="61142" spans="3:13" ht="12.75" customHeight="1">
      <c r="C61142"/>
      <c r="M61142"/>
    </row>
    <row r="61143" spans="3:13" ht="12.75" customHeight="1">
      <c r="C61143"/>
      <c r="M61143"/>
    </row>
    <row r="61144" spans="3:13" ht="12.75" customHeight="1">
      <c r="C61144"/>
      <c r="M61144"/>
    </row>
    <row r="61145" spans="3:13" ht="12.75" customHeight="1">
      <c r="C61145"/>
      <c r="M61145"/>
    </row>
    <row r="61147" spans="3:13" ht="12.75" customHeight="1">
      <c r="C61147"/>
      <c r="M61147"/>
    </row>
    <row r="61155" spans="3:13" ht="12.75" customHeight="1">
      <c r="C61155"/>
      <c r="M61155"/>
    </row>
    <row r="61158" spans="3:13" ht="12.75" customHeight="1">
      <c r="C61158"/>
      <c r="M61158"/>
    </row>
    <row r="61159" spans="3:13" ht="12.75" customHeight="1">
      <c r="C61159"/>
      <c r="M61159"/>
    </row>
    <row r="61160" spans="3:13" ht="12.75" customHeight="1">
      <c r="C61160"/>
      <c r="M61160"/>
    </row>
    <row r="61161" spans="3:13" ht="12.75" customHeight="1">
      <c r="C61161"/>
      <c r="M61161"/>
    </row>
    <row r="61163" spans="3:13" ht="12.75" customHeight="1">
      <c r="C61163"/>
      <c r="M61163"/>
    </row>
    <row r="61171" spans="3:13" ht="12.75" customHeight="1">
      <c r="C61171"/>
      <c r="M61171"/>
    </row>
    <row r="61174" spans="3:13" ht="12.75" customHeight="1">
      <c r="C61174"/>
      <c r="M61174"/>
    </row>
    <row r="61175" spans="3:13" ht="12.75" customHeight="1">
      <c r="C61175"/>
      <c r="M61175"/>
    </row>
    <row r="61176" spans="3:13" ht="12.75" customHeight="1">
      <c r="C61176"/>
      <c r="M61176"/>
    </row>
    <row r="61177" spans="3:13" ht="12.75" customHeight="1">
      <c r="C61177"/>
      <c r="M61177"/>
    </row>
    <row r="61179" spans="3:13" ht="12.75" customHeight="1">
      <c r="C61179"/>
      <c r="M61179"/>
    </row>
    <row r="61187" spans="3:13" ht="12.75" customHeight="1">
      <c r="C61187"/>
      <c r="M61187"/>
    </row>
    <row r="61188" spans="3:13" ht="12.75" customHeight="1">
      <c r="C61188"/>
      <c r="M61188"/>
    </row>
    <row r="61190" spans="3:13" ht="12.75" customHeight="1">
      <c r="C61190"/>
      <c r="M61190"/>
    </row>
    <row r="61191" spans="3:13" ht="12.75" customHeight="1">
      <c r="C61191"/>
      <c r="M61191"/>
    </row>
    <row r="61192" spans="3:13" ht="12.75" customHeight="1">
      <c r="C61192"/>
      <c r="M61192"/>
    </row>
    <row r="61193" spans="3:13" ht="12.75" customHeight="1">
      <c r="C61193"/>
      <c r="M61193"/>
    </row>
    <row r="61195" spans="3:13" ht="12.75" customHeight="1">
      <c r="C61195"/>
      <c r="M61195"/>
    </row>
    <row r="61203" spans="3:13" ht="12.75" customHeight="1">
      <c r="C61203"/>
      <c r="M61203"/>
    </row>
    <row r="61204" spans="3:13" ht="12.75" customHeight="1">
      <c r="C61204"/>
      <c r="M61204"/>
    </row>
    <row r="61205" spans="3:13" ht="12.75" customHeight="1">
      <c r="C61205"/>
      <c r="M61205"/>
    </row>
    <row r="61206" spans="3:13" ht="12.75" customHeight="1">
      <c r="C61206"/>
      <c r="M61206"/>
    </row>
    <row r="61207" spans="3:13" ht="12.75" customHeight="1">
      <c r="C61207"/>
      <c r="M61207"/>
    </row>
    <row r="61208" spans="3:13" ht="12.75" customHeight="1">
      <c r="C61208"/>
      <c r="M61208"/>
    </row>
    <row r="61209" spans="3:13" ht="12.75" customHeight="1">
      <c r="C61209"/>
      <c r="M61209"/>
    </row>
    <row r="61211" spans="3:13" ht="12.75" customHeight="1">
      <c r="C61211"/>
      <c r="M61211"/>
    </row>
    <row r="61219" spans="3:13" ht="12.75" customHeight="1">
      <c r="C61219"/>
      <c r="M61219"/>
    </row>
    <row r="61220" spans="3:13" ht="12.75" customHeight="1">
      <c r="C61220"/>
      <c r="M61220"/>
    </row>
    <row r="61221" spans="3:13" ht="12.75" customHeight="1">
      <c r="C61221"/>
      <c r="M61221"/>
    </row>
    <row r="61222" spans="3:13" ht="12.75" customHeight="1">
      <c r="C61222"/>
      <c r="M61222"/>
    </row>
    <row r="61223" spans="3:13" ht="12.75" customHeight="1">
      <c r="C61223"/>
      <c r="M61223"/>
    </row>
    <row r="61224" spans="3:13" ht="12.75" customHeight="1">
      <c r="C61224"/>
      <c r="M61224"/>
    </row>
    <row r="61225" spans="3:13" ht="12.75" customHeight="1">
      <c r="C61225"/>
      <c r="M61225"/>
    </row>
    <row r="61227" spans="3:13" ht="12.75" customHeight="1">
      <c r="C61227"/>
      <c r="M61227"/>
    </row>
    <row r="61233" spans="3:13" ht="12.75" customHeight="1">
      <c r="C61233"/>
      <c r="M61233"/>
    </row>
    <row r="61234" spans="3:13" ht="12.75" customHeight="1">
      <c r="C61234"/>
      <c r="M61234"/>
    </row>
    <row r="61235" spans="3:13" ht="12.75" customHeight="1">
      <c r="C61235"/>
      <c r="M61235"/>
    </row>
    <row r="61236" spans="3:13" ht="12.75" customHeight="1">
      <c r="C61236"/>
      <c r="M61236"/>
    </row>
    <row r="61237" spans="3:13" ht="12.75" customHeight="1">
      <c r="C61237"/>
      <c r="M61237"/>
    </row>
    <row r="61238" spans="3:13" ht="12.75" customHeight="1">
      <c r="C61238"/>
      <c r="M61238"/>
    </row>
    <row r="61239" spans="3:13" ht="12.75" customHeight="1">
      <c r="C61239"/>
      <c r="M61239"/>
    </row>
    <row r="61240" spans="3:13" ht="12.75" customHeight="1">
      <c r="C61240"/>
      <c r="M61240"/>
    </row>
    <row r="61241" spans="3:13" ht="12.75" customHeight="1">
      <c r="C61241"/>
      <c r="M61241"/>
    </row>
    <row r="61242" spans="3:13" ht="12.75" customHeight="1">
      <c r="C61242"/>
      <c r="M61242"/>
    </row>
    <row r="61243" spans="3:13" ht="12.75" customHeight="1">
      <c r="C61243"/>
      <c r="M61243"/>
    </row>
    <row r="61244" spans="3:13" ht="12.75" customHeight="1">
      <c r="C61244"/>
      <c r="M61244"/>
    </row>
    <row r="61249" spans="3:13" ht="12.75" customHeight="1">
      <c r="C61249"/>
      <c r="M61249"/>
    </row>
    <row r="61250" spans="3:13" ht="12.75" customHeight="1">
      <c r="C61250"/>
      <c r="M61250"/>
    </row>
    <row r="61251" spans="3:13" ht="12.75" customHeight="1">
      <c r="C61251"/>
      <c r="M61251"/>
    </row>
    <row r="61252" spans="3:13" ht="12.75" customHeight="1">
      <c r="C61252"/>
      <c r="M61252"/>
    </row>
    <row r="61253" spans="3:13" ht="12.75" customHeight="1">
      <c r="C61253"/>
      <c r="M61253"/>
    </row>
    <row r="61254" spans="3:13" ht="12.75" customHeight="1">
      <c r="C61254"/>
      <c r="M61254"/>
    </row>
    <row r="61255" spans="3:13" ht="12.75" customHeight="1">
      <c r="C61255"/>
      <c r="M61255"/>
    </row>
    <row r="61256" spans="3:13" ht="12.75" customHeight="1">
      <c r="C61256"/>
      <c r="M61256"/>
    </row>
    <row r="61257" spans="3:13" ht="12.75" customHeight="1">
      <c r="C61257"/>
      <c r="M61257"/>
    </row>
    <row r="61258" spans="3:13" ht="12.75" customHeight="1">
      <c r="C61258"/>
      <c r="M61258"/>
    </row>
    <row r="61259" spans="3:13" ht="12.75" customHeight="1">
      <c r="C61259"/>
      <c r="M61259"/>
    </row>
    <row r="61260" spans="3:13" ht="12.75" customHeight="1">
      <c r="C61260"/>
      <c r="M61260"/>
    </row>
    <row r="61265" spans="3:13" ht="12.75" customHeight="1">
      <c r="C61265"/>
      <c r="M61265"/>
    </row>
    <row r="61266" spans="3:13" ht="12.75" customHeight="1">
      <c r="C61266"/>
      <c r="M61266"/>
    </row>
    <row r="61267" spans="3:13" ht="12.75" customHeight="1">
      <c r="C61267"/>
      <c r="M61267"/>
    </row>
    <row r="61268" spans="3:13" ht="12.75" customHeight="1">
      <c r="C61268"/>
      <c r="M61268"/>
    </row>
    <row r="61269" spans="3:13" ht="12.75" customHeight="1">
      <c r="C61269"/>
      <c r="M61269"/>
    </row>
    <row r="61270" spans="3:13" ht="12.75" customHeight="1">
      <c r="C61270"/>
      <c r="M61270"/>
    </row>
    <row r="61271" spans="3:13" ht="12.75" customHeight="1">
      <c r="C61271"/>
      <c r="M61271"/>
    </row>
    <row r="61272" spans="3:13" ht="12.75" customHeight="1">
      <c r="C61272"/>
      <c r="M61272"/>
    </row>
    <row r="61273" spans="3:13" ht="12.75" customHeight="1">
      <c r="C61273"/>
      <c r="M61273"/>
    </row>
    <row r="61274" spans="3:13" ht="12.75" customHeight="1">
      <c r="C61274"/>
      <c r="M61274"/>
    </row>
    <row r="61275" spans="3:13" ht="12.75" customHeight="1">
      <c r="C61275"/>
      <c r="M61275"/>
    </row>
    <row r="61276" spans="3:13" ht="12.75" customHeight="1">
      <c r="C61276"/>
      <c r="M61276"/>
    </row>
    <row r="61281" spans="3:13" ht="12.75" customHeight="1">
      <c r="C61281"/>
      <c r="M61281"/>
    </row>
    <row r="61282" spans="3:13" ht="12.75" customHeight="1">
      <c r="C61282"/>
      <c r="M61282"/>
    </row>
    <row r="61283" spans="3:13" ht="12.75" customHeight="1">
      <c r="C61283"/>
      <c r="M61283"/>
    </row>
    <row r="61284" spans="3:13" ht="12.75" customHeight="1">
      <c r="C61284"/>
      <c r="M61284"/>
    </row>
    <row r="61285" spans="3:13" ht="12.75" customHeight="1">
      <c r="C61285"/>
      <c r="M61285"/>
    </row>
    <row r="61286" spans="3:13" ht="12.75" customHeight="1">
      <c r="C61286"/>
      <c r="M61286"/>
    </row>
    <row r="61287" spans="3:13" ht="12.75" customHeight="1">
      <c r="C61287"/>
      <c r="M61287"/>
    </row>
    <row r="61288" spans="3:13" ht="12.75" customHeight="1">
      <c r="C61288"/>
      <c r="M61288"/>
    </row>
    <row r="61289" spans="3:13" ht="12.75" customHeight="1">
      <c r="C61289"/>
      <c r="M61289"/>
    </row>
    <row r="61290" spans="3:13" ht="12.75" customHeight="1">
      <c r="C61290"/>
      <c r="M61290"/>
    </row>
    <row r="61291" spans="3:13" ht="12.75" customHeight="1">
      <c r="C61291"/>
      <c r="M61291"/>
    </row>
    <row r="61292" spans="3:13" ht="12.75" customHeight="1">
      <c r="C61292"/>
      <c r="M61292"/>
    </row>
    <row r="61296" spans="3:13" ht="12.75" customHeight="1">
      <c r="C61296"/>
      <c r="M61296"/>
    </row>
    <row r="61297" spans="3:13" ht="12.75" customHeight="1">
      <c r="C61297"/>
      <c r="M61297"/>
    </row>
    <row r="61298" spans="3:13" ht="12.75" customHeight="1">
      <c r="C61298"/>
      <c r="M61298"/>
    </row>
    <row r="61299" spans="3:13" ht="12.75" customHeight="1">
      <c r="C61299"/>
      <c r="M61299"/>
    </row>
    <row r="61300" spans="3:13" ht="12.75" customHeight="1">
      <c r="C61300"/>
      <c r="M61300"/>
    </row>
    <row r="61301" spans="3:13" ht="12.75" customHeight="1">
      <c r="C61301"/>
      <c r="M61301"/>
    </row>
    <row r="61302" spans="3:13" ht="12.75" customHeight="1">
      <c r="C61302"/>
      <c r="M61302"/>
    </row>
    <row r="61303" spans="3:13" ht="12.75" customHeight="1">
      <c r="C61303"/>
      <c r="M61303"/>
    </row>
    <row r="61304" spans="3:13" ht="12.75" customHeight="1">
      <c r="C61304"/>
      <c r="M61304"/>
    </row>
    <row r="61305" spans="3:13" ht="12.75" customHeight="1">
      <c r="C61305"/>
      <c r="M61305"/>
    </row>
    <row r="61306" spans="3:13" ht="12.75" customHeight="1">
      <c r="C61306"/>
      <c r="M61306"/>
    </row>
    <row r="61307" spans="3:13" ht="12.75" customHeight="1">
      <c r="C61307"/>
      <c r="M61307"/>
    </row>
    <row r="61308" spans="3:13" ht="12.75" customHeight="1">
      <c r="C61308"/>
      <c r="M61308"/>
    </row>
    <row r="61312" spans="3:13" ht="12.75" customHeight="1">
      <c r="C61312"/>
      <c r="M61312"/>
    </row>
    <row r="61313" spans="3:13" ht="12.75" customHeight="1">
      <c r="C61313"/>
      <c r="M61313"/>
    </row>
    <row r="61314" spans="3:13" ht="12.75" customHeight="1">
      <c r="C61314"/>
      <c r="M61314"/>
    </row>
    <row r="61315" spans="3:13" ht="12.75" customHeight="1">
      <c r="C61315"/>
      <c r="M61315"/>
    </row>
    <row r="61316" spans="3:13" ht="12.75" customHeight="1">
      <c r="C61316"/>
      <c r="M61316"/>
    </row>
    <row r="61317" spans="3:13" ht="12.75" customHeight="1">
      <c r="C61317"/>
      <c r="M61317"/>
    </row>
    <row r="61318" spans="3:13" ht="12.75" customHeight="1">
      <c r="C61318"/>
      <c r="M61318"/>
    </row>
    <row r="61319" spans="3:13" ht="12.75" customHeight="1">
      <c r="C61319"/>
      <c r="M61319"/>
    </row>
    <row r="61320" spans="3:13" ht="12.75" customHeight="1">
      <c r="C61320"/>
      <c r="M61320"/>
    </row>
    <row r="61321" spans="3:13" ht="12.75" customHeight="1">
      <c r="C61321"/>
      <c r="M61321"/>
    </row>
    <row r="61322" spans="3:13" ht="12.75" customHeight="1">
      <c r="C61322"/>
      <c r="M61322"/>
    </row>
    <row r="61323" spans="3:13" ht="12.75" customHeight="1">
      <c r="C61323"/>
      <c r="M61323"/>
    </row>
    <row r="61324" spans="3:13" ht="12.75" customHeight="1">
      <c r="C61324"/>
      <c r="M61324"/>
    </row>
    <row r="61328" spans="3:13" ht="12.75" customHeight="1">
      <c r="C61328"/>
      <c r="M61328"/>
    </row>
    <row r="61329" spans="3:13" ht="12.75" customHeight="1">
      <c r="C61329"/>
      <c r="M61329"/>
    </row>
    <row r="61330" spans="3:13" ht="12.75" customHeight="1">
      <c r="C61330"/>
      <c r="M61330"/>
    </row>
    <row r="61331" spans="3:13" ht="12.75" customHeight="1">
      <c r="C61331"/>
      <c r="M61331"/>
    </row>
    <row r="61332" spans="3:13" ht="12.75" customHeight="1">
      <c r="C61332"/>
      <c r="M61332"/>
    </row>
    <row r="61333" spans="3:13" ht="12.75" customHeight="1">
      <c r="C61333"/>
      <c r="M61333"/>
    </row>
    <row r="61334" spans="3:13" ht="12.75" customHeight="1">
      <c r="C61334"/>
      <c r="M61334"/>
    </row>
    <row r="61335" spans="3:13" ht="12.75" customHeight="1">
      <c r="C61335"/>
      <c r="M61335"/>
    </row>
    <row r="61336" spans="3:13" ht="12.75" customHeight="1">
      <c r="C61336"/>
      <c r="M61336"/>
    </row>
    <row r="61337" spans="3:13" ht="12.75" customHeight="1">
      <c r="C61337"/>
      <c r="M61337"/>
    </row>
    <row r="61338" spans="3:13" ht="12.75" customHeight="1">
      <c r="C61338"/>
      <c r="M61338"/>
    </row>
    <row r="61339" spans="3:13" ht="12.75" customHeight="1">
      <c r="C61339"/>
      <c r="M61339"/>
    </row>
    <row r="61340" spans="3:13" ht="12.75" customHeight="1">
      <c r="C61340"/>
      <c r="M61340"/>
    </row>
    <row r="61344" spans="3:13" ht="12.75" customHeight="1">
      <c r="C61344"/>
      <c r="M61344"/>
    </row>
    <row r="61345" spans="3:13" ht="12.75" customHeight="1">
      <c r="C61345"/>
      <c r="M61345"/>
    </row>
    <row r="61346" spans="3:13" ht="12.75" customHeight="1">
      <c r="C61346"/>
      <c r="M61346"/>
    </row>
    <row r="61347" spans="3:13" ht="12.75" customHeight="1">
      <c r="C61347"/>
      <c r="M61347"/>
    </row>
    <row r="61348" spans="3:13" ht="12.75" customHeight="1">
      <c r="C61348"/>
      <c r="M61348"/>
    </row>
    <row r="61349" spans="3:13" ht="12.75" customHeight="1">
      <c r="C61349"/>
      <c r="M61349"/>
    </row>
    <row r="61350" spans="3:13" ht="12.75" customHeight="1">
      <c r="C61350"/>
      <c r="M61350"/>
    </row>
    <row r="61351" spans="3:13" ht="12.75" customHeight="1">
      <c r="C61351"/>
      <c r="M61351"/>
    </row>
    <row r="61352" spans="3:13" ht="12.75" customHeight="1">
      <c r="C61352"/>
      <c r="M61352"/>
    </row>
    <row r="61353" spans="3:13" ht="12.75" customHeight="1">
      <c r="C61353"/>
      <c r="M61353"/>
    </row>
    <row r="61354" spans="3:13" ht="12.75" customHeight="1">
      <c r="C61354"/>
      <c r="M61354"/>
    </row>
    <row r="61355" spans="3:13" ht="12.75" customHeight="1">
      <c r="C61355"/>
      <c r="M61355"/>
    </row>
    <row r="61356" spans="3:13" ht="12.75" customHeight="1">
      <c r="C61356"/>
      <c r="M61356"/>
    </row>
    <row r="61360" spans="3:13" ht="12.75" customHeight="1">
      <c r="C61360"/>
      <c r="M61360"/>
    </row>
    <row r="61361" spans="3:13" ht="12.75" customHeight="1">
      <c r="C61361"/>
      <c r="M61361"/>
    </row>
    <row r="61362" spans="3:13" ht="12.75" customHeight="1">
      <c r="C61362"/>
      <c r="M61362"/>
    </row>
    <row r="61363" spans="3:13" ht="12.75" customHeight="1">
      <c r="C61363"/>
      <c r="M61363"/>
    </row>
    <row r="61364" spans="3:13" ht="12.75" customHeight="1">
      <c r="C61364"/>
      <c r="M61364"/>
    </row>
    <row r="61365" spans="3:13" ht="12.75" customHeight="1">
      <c r="C61365"/>
      <c r="M61365"/>
    </row>
    <row r="61366" spans="3:13" ht="12.75" customHeight="1">
      <c r="C61366"/>
      <c r="M61366"/>
    </row>
    <row r="61367" spans="3:13" ht="12.75" customHeight="1">
      <c r="C61367"/>
      <c r="M61367"/>
    </row>
    <row r="61368" spans="3:13" ht="12.75" customHeight="1">
      <c r="C61368"/>
      <c r="M61368"/>
    </row>
    <row r="61369" spans="3:13" ht="12.75" customHeight="1">
      <c r="C61369"/>
      <c r="M61369"/>
    </row>
    <row r="61370" spans="3:13" ht="12.75" customHeight="1">
      <c r="C61370"/>
      <c r="M61370"/>
    </row>
    <row r="61371" spans="3:13" ht="12.75" customHeight="1">
      <c r="C61371"/>
      <c r="M61371"/>
    </row>
    <row r="61372" spans="3:13" ht="12.75" customHeight="1">
      <c r="C61372"/>
      <c r="M61372"/>
    </row>
    <row r="61376" spans="3:13" ht="12.75" customHeight="1">
      <c r="C61376"/>
      <c r="M61376"/>
    </row>
    <row r="61377" spans="3:13" ht="12.75" customHeight="1">
      <c r="C61377"/>
      <c r="M61377"/>
    </row>
    <row r="61378" spans="3:13" ht="12.75" customHeight="1">
      <c r="C61378"/>
      <c r="M61378"/>
    </row>
    <row r="61379" spans="3:13" ht="12.75" customHeight="1">
      <c r="C61379"/>
      <c r="M61379"/>
    </row>
    <row r="61380" spans="3:13" ht="12.75" customHeight="1">
      <c r="C61380"/>
      <c r="M61380"/>
    </row>
    <row r="61381" spans="3:13" ht="12.75" customHeight="1">
      <c r="C61381"/>
      <c r="M61381"/>
    </row>
    <row r="61382" spans="3:13" ht="12.75" customHeight="1">
      <c r="C61382"/>
      <c r="M61382"/>
    </row>
    <row r="61383" spans="3:13" ht="12.75" customHeight="1">
      <c r="C61383"/>
      <c r="M61383"/>
    </row>
    <row r="61384" spans="3:13" ht="12.75" customHeight="1">
      <c r="C61384"/>
      <c r="M61384"/>
    </row>
    <row r="61385" spans="3:13" ht="12.75" customHeight="1">
      <c r="C61385"/>
      <c r="M61385"/>
    </row>
    <row r="61386" spans="3:13" ht="12.75" customHeight="1">
      <c r="C61386"/>
      <c r="M61386"/>
    </row>
    <row r="61387" spans="3:13" ht="12.75" customHeight="1">
      <c r="C61387"/>
      <c r="M61387"/>
    </row>
    <row r="61388" spans="3:13" ht="12.75" customHeight="1">
      <c r="C61388"/>
      <c r="M61388"/>
    </row>
    <row r="61392" spans="3:13" ht="12.75" customHeight="1">
      <c r="C61392"/>
      <c r="M61392"/>
    </row>
    <row r="61393" spans="3:13" ht="12.75" customHeight="1">
      <c r="C61393"/>
      <c r="M61393"/>
    </row>
    <row r="61394" spans="3:13" ht="12.75" customHeight="1">
      <c r="C61394"/>
      <c r="M61394"/>
    </row>
    <row r="61395" spans="3:13" ht="12.75" customHeight="1">
      <c r="C61395"/>
      <c r="M61395"/>
    </row>
    <row r="61396" spans="3:13" ht="12.75" customHeight="1">
      <c r="C61396"/>
      <c r="M61396"/>
    </row>
    <row r="61397" spans="3:13" ht="12.75" customHeight="1">
      <c r="C61397"/>
      <c r="M61397"/>
    </row>
    <row r="61398" spans="3:13" ht="12.75" customHeight="1">
      <c r="C61398"/>
      <c r="M61398"/>
    </row>
    <row r="61399" spans="3:13" ht="12.75" customHeight="1">
      <c r="C61399"/>
      <c r="M61399"/>
    </row>
    <row r="61400" spans="3:13" ht="12.75" customHeight="1">
      <c r="C61400"/>
      <c r="M61400"/>
    </row>
    <row r="61401" spans="3:13" ht="12.75" customHeight="1">
      <c r="C61401"/>
      <c r="M61401"/>
    </row>
    <row r="61402" spans="3:13" ht="12.75" customHeight="1">
      <c r="C61402"/>
      <c r="M61402"/>
    </row>
    <row r="61403" spans="3:13" ht="12.75" customHeight="1">
      <c r="C61403"/>
      <c r="M61403"/>
    </row>
    <row r="61404" spans="3:13" ht="12.75" customHeight="1">
      <c r="C61404"/>
      <c r="M61404"/>
    </row>
    <row r="61408" spans="3:13" ht="12.75" customHeight="1">
      <c r="C61408"/>
      <c r="M61408"/>
    </row>
    <row r="61409" spans="3:13" ht="12.75" customHeight="1">
      <c r="C61409"/>
      <c r="M61409"/>
    </row>
    <row r="61410" spans="3:13" ht="12.75" customHeight="1">
      <c r="C61410"/>
      <c r="M61410"/>
    </row>
    <row r="61411" spans="3:13" ht="12.75" customHeight="1">
      <c r="C61411"/>
      <c r="M61411"/>
    </row>
    <row r="61412" spans="3:13" ht="12.75" customHeight="1">
      <c r="C61412"/>
      <c r="M61412"/>
    </row>
    <row r="61413" spans="3:13" ht="12.75" customHeight="1">
      <c r="C61413"/>
      <c r="M61413"/>
    </row>
    <row r="61414" spans="3:13" ht="12.75" customHeight="1">
      <c r="C61414"/>
      <c r="M61414"/>
    </row>
    <row r="61415" spans="3:13" ht="12.75" customHeight="1">
      <c r="C61415"/>
      <c r="M61415"/>
    </row>
    <row r="61416" spans="3:13" ht="12.75" customHeight="1">
      <c r="C61416"/>
      <c r="M61416"/>
    </row>
    <row r="61417" spans="3:13" ht="12.75" customHeight="1">
      <c r="C61417"/>
      <c r="M61417"/>
    </row>
    <row r="61418" spans="3:13" ht="12.75" customHeight="1">
      <c r="C61418"/>
      <c r="M61418"/>
    </row>
    <row r="61419" spans="3:13" ht="12.75" customHeight="1">
      <c r="C61419"/>
      <c r="M61419"/>
    </row>
    <row r="61420" spans="3:13" ht="12.75" customHeight="1">
      <c r="C61420"/>
      <c r="M61420"/>
    </row>
    <row r="61421" spans="3:13" ht="12.75" customHeight="1">
      <c r="C61421"/>
      <c r="M61421"/>
    </row>
    <row r="61424" spans="3:13" ht="12.75" customHeight="1">
      <c r="C61424"/>
      <c r="M61424"/>
    </row>
    <row r="61425" spans="3:13" ht="12.75" customHeight="1">
      <c r="C61425"/>
      <c r="M61425"/>
    </row>
    <row r="61426" spans="3:13" ht="12.75" customHeight="1">
      <c r="C61426"/>
      <c r="M61426"/>
    </row>
    <row r="61427" spans="3:13" ht="12.75" customHeight="1">
      <c r="C61427"/>
      <c r="M61427"/>
    </row>
    <row r="61428" spans="3:13" ht="12.75" customHeight="1">
      <c r="C61428"/>
      <c r="M61428"/>
    </row>
    <row r="61429" spans="3:13" ht="12.75" customHeight="1">
      <c r="C61429"/>
      <c r="M61429"/>
    </row>
    <row r="61430" spans="3:13" ht="12.75" customHeight="1">
      <c r="C61430"/>
      <c r="M61430"/>
    </row>
    <row r="61431" spans="3:13" ht="12.75" customHeight="1">
      <c r="C61431"/>
      <c r="M61431"/>
    </row>
    <row r="61432" spans="3:13" ht="12.75" customHeight="1">
      <c r="C61432"/>
      <c r="M61432"/>
    </row>
    <row r="61433" spans="3:13" ht="12.75" customHeight="1">
      <c r="C61433"/>
      <c r="M61433"/>
    </row>
    <row r="61434" spans="3:13" ht="12.75" customHeight="1">
      <c r="C61434"/>
      <c r="M61434"/>
    </row>
    <row r="61435" spans="3:13" ht="12.75" customHeight="1">
      <c r="C61435"/>
      <c r="M61435"/>
    </row>
    <row r="61436" spans="3:13" ht="12.75" customHeight="1">
      <c r="C61436"/>
      <c r="M61436"/>
    </row>
    <row r="61437" spans="3:13" ht="12.75" customHeight="1">
      <c r="C61437"/>
      <c r="M61437"/>
    </row>
    <row r="61440" spans="3:13" ht="12.75" customHeight="1">
      <c r="C61440"/>
      <c r="M61440"/>
    </row>
    <row r="61441" spans="3:13" ht="12.75" customHeight="1">
      <c r="C61441"/>
      <c r="M61441"/>
    </row>
    <row r="61442" spans="3:13" ht="12.75" customHeight="1">
      <c r="C61442"/>
      <c r="M61442"/>
    </row>
    <row r="61443" spans="3:13" ht="12.75" customHeight="1">
      <c r="C61443"/>
      <c r="M61443"/>
    </row>
    <row r="61444" spans="3:13" ht="12.75" customHeight="1">
      <c r="C61444"/>
      <c r="M61444"/>
    </row>
    <row r="61445" spans="3:13" ht="12.75" customHeight="1">
      <c r="C61445"/>
      <c r="M61445"/>
    </row>
    <row r="61446" spans="3:13" ht="12.75" customHeight="1">
      <c r="C61446"/>
      <c r="M61446"/>
    </row>
    <row r="61447" spans="3:13" ht="12.75" customHeight="1">
      <c r="C61447"/>
      <c r="M61447"/>
    </row>
    <row r="61448" spans="3:13" ht="12.75" customHeight="1">
      <c r="C61448"/>
      <c r="M61448"/>
    </row>
    <row r="61449" spans="3:13" ht="12.75" customHeight="1">
      <c r="C61449"/>
      <c r="M61449"/>
    </row>
    <row r="61450" spans="3:13" ht="12.75" customHeight="1">
      <c r="C61450"/>
      <c r="M61450"/>
    </row>
    <row r="61451" spans="3:13" ht="12.75" customHeight="1">
      <c r="C61451"/>
      <c r="M61451"/>
    </row>
    <row r="61452" spans="3:13" ht="12.75" customHeight="1">
      <c r="C61452"/>
      <c r="M61452"/>
    </row>
    <row r="61453" spans="3:13" ht="12.75" customHeight="1">
      <c r="C61453"/>
      <c r="M61453"/>
    </row>
    <row r="61454" spans="3:13" ht="12.75" customHeight="1">
      <c r="C61454"/>
      <c r="M61454"/>
    </row>
    <row r="61456" spans="3:13" ht="12.75" customHeight="1">
      <c r="C61456"/>
      <c r="M61456"/>
    </row>
    <row r="61457" spans="3:13" ht="12.75" customHeight="1">
      <c r="C61457"/>
      <c r="M61457"/>
    </row>
    <row r="61458" spans="3:13" ht="12.75" customHeight="1">
      <c r="C61458"/>
      <c r="M61458"/>
    </row>
    <row r="61459" spans="3:13" ht="12.75" customHeight="1">
      <c r="C61459"/>
      <c r="M61459"/>
    </row>
    <row r="61460" spans="3:13" ht="12.75" customHeight="1">
      <c r="C61460"/>
      <c r="M61460"/>
    </row>
    <row r="61461" spans="3:13" ht="12.75" customHeight="1">
      <c r="C61461"/>
      <c r="M61461"/>
    </row>
    <row r="61462" spans="3:13" ht="12.75" customHeight="1">
      <c r="C61462"/>
      <c r="M61462"/>
    </row>
    <row r="61463" spans="3:13" ht="12.75" customHeight="1">
      <c r="C61463"/>
      <c r="M61463"/>
    </row>
    <row r="61464" spans="3:13" ht="12.75" customHeight="1">
      <c r="C61464"/>
      <c r="M61464"/>
    </row>
    <row r="61465" spans="3:13" ht="12.75" customHeight="1">
      <c r="C61465"/>
      <c r="M61465"/>
    </row>
    <row r="61466" spans="3:13" ht="12.75" customHeight="1">
      <c r="C61466"/>
      <c r="M61466"/>
    </row>
    <row r="61467" spans="3:13" ht="12.75" customHeight="1">
      <c r="C61467"/>
      <c r="M61467"/>
    </row>
    <row r="61468" spans="3:13" ht="12.75" customHeight="1">
      <c r="C61468"/>
      <c r="M61468"/>
    </row>
    <row r="61469" spans="3:13" ht="12.75" customHeight="1">
      <c r="C61469"/>
      <c r="M61469"/>
    </row>
    <row r="61470" spans="3:13" ht="12.75" customHeight="1">
      <c r="C61470"/>
      <c r="M61470"/>
    </row>
    <row r="61471" spans="3:13" ht="12.75" customHeight="1">
      <c r="C61471"/>
      <c r="M61471"/>
    </row>
    <row r="61472" spans="3:13" ht="12.75" customHeight="1">
      <c r="C61472"/>
      <c r="M61472"/>
    </row>
    <row r="61473" spans="3:13" ht="12.75" customHeight="1">
      <c r="C61473"/>
      <c r="M61473"/>
    </row>
    <row r="61474" spans="3:13" ht="12.75" customHeight="1">
      <c r="C61474"/>
      <c r="M61474"/>
    </row>
    <row r="61475" spans="3:13" ht="12.75" customHeight="1">
      <c r="C61475"/>
      <c r="M61475"/>
    </row>
    <row r="61476" spans="3:13" ht="12.75" customHeight="1">
      <c r="C61476"/>
      <c r="M61476"/>
    </row>
    <row r="61477" spans="3:13" ht="12.75" customHeight="1">
      <c r="C61477"/>
      <c r="M61477"/>
    </row>
    <row r="61478" spans="3:13" ht="12.75" customHeight="1">
      <c r="C61478"/>
      <c r="M61478"/>
    </row>
    <row r="61479" spans="3:13" ht="12.75" customHeight="1">
      <c r="C61479"/>
      <c r="M61479"/>
    </row>
    <row r="61480" spans="3:13" ht="12.75" customHeight="1">
      <c r="C61480"/>
      <c r="M61480"/>
    </row>
    <row r="61481" spans="3:13" ht="12.75" customHeight="1">
      <c r="C61481"/>
      <c r="M61481"/>
    </row>
    <row r="61482" spans="3:13" ht="12.75" customHeight="1">
      <c r="C61482"/>
      <c r="M61482"/>
    </row>
    <row r="61483" spans="3:13" ht="12.75" customHeight="1">
      <c r="C61483"/>
      <c r="M61483"/>
    </row>
    <row r="61484" spans="3:13" ht="12.75" customHeight="1">
      <c r="C61484"/>
      <c r="M61484"/>
    </row>
    <row r="61485" spans="3:13" ht="12.75" customHeight="1">
      <c r="C61485"/>
      <c r="M61485"/>
    </row>
    <row r="61486" spans="3:13" ht="12.75" customHeight="1">
      <c r="C61486"/>
      <c r="M61486"/>
    </row>
    <row r="61487" spans="3:13" ht="12.75" customHeight="1">
      <c r="C61487"/>
      <c r="M61487"/>
    </row>
    <row r="61488" spans="3:13" ht="12.75" customHeight="1">
      <c r="C61488"/>
      <c r="M61488"/>
    </row>
    <row r="61489" spans="3:13" ht="12.75" customHeight="1">
      <c r="C61489"/>
      <c r="M61489"/>
    </row>
    <row r="61490" spans="3:13" ht="12.75" customHeight="1">
      <c r="C61490"/>
      <c r="M61490"/>
    </row>
    <row r="61491" spans="3:13" ht="12.75" customHeight="1">
      <c r="C61491"/>
      <c r="M61491"/>
    </row>
    <row r="61492" spans="3:13" ht="12.75" customHeight="1">
      <c r="C61492"/>
      <c r="M61492"/>
    </row>
    <row r="61493" spans="3:13" ht="12.75" customHeight="1">
      <c r="C61493"/>
      <c r="M61493"/>
    </row>
    <row r="61494" spans="3:13" ht="12.75" customHeight="1">
      <c r="C61494"/>
      <c r="M61494"/>
    </row>
    <row r="61495" spans="3:13" ht="12.75" customHeight="1">
      <c r="C61495"/>
      <c r="M61495"/>
    </row>
    <row r="61496" spans="3:13" ht="12.75" customHeight="1">
      <c r="C61496"/>
      <c r="M61496"/>
    </row>
    <row r="61497" spans="3:13" ht="12.75" customHeight="1">
      <c r="C61497"/>
      <c r="M61497"/>
    </row>
    <row r="61498" spans="3:13" ht="12.75" customHeight="1">
      <c r="C61498"/>
      <c r="M61498"/>
    </row>
    <row r="61499" spans="3:13" ht="12.75" customHeight="1">
      <c r="C61499"/>
      <c r="M61499"/>
    </row>
    <row r="61500" spans="3:13" ht="12.75" customHeight="1">
      <c r="C61500"/>
      <c r="M61500"/>
    </row>
    <row r="61501" spans="3:13" ht="12.75" customHeight="1">
      <c r="C61501"/>
      <c r="M61501"/>
    </row>
    <row r="61502" spans="3:13" ht="12.75" customHeight="1">
      <c r="C61502"/>
      <c r="M61502"/>
    </row>
    <row r="61503" spans="3:13" ht="12.75" customHeight="1">
      <c r="C61503"/>
      <c r="M61503"/>
    </row>
    <row r="61504" spans="3:13" ht="12.75" customHeight="1">
      <c r="C61504"/>
      <c r="M61504"/>
    </row>
    <row r="61505" spans="3:13" ht="12.75" customHeight="1">
      <c r="C61505"/>
      <c r="M61505"/>
    </row>
    <row r="61506" spans="3:13" ht="12.75" customHeight="1">
      <c r="C61506"/>
      <c r="M61506"/>
    </row>
    <row r="61507" spans="3:13" ht="12.75" customHeight="1">
      <c r="C61507"/>
      <c r="M61507"/>
    </row>
    <row r="61508" spans="3:13" ht="12.75" customHeight="1">
      <c r="C61508"/>
      <c r="M61508"/>
    </row>
    <row r="61509" spans="3:13" ht="12.75" customHeight="1">
      <c r="C61509"/>
      <c r="M61509"/>
    </row>
    <row r="61510" spans="3:13" ht="12.75" customHeight="1">
      <c r="C61510"/>
      <c r="M61510"/>
    </row>
    <row r="61511" spans="3:13" ht="12.75" customHeight="1">
      <c r="C61511"/>
      <c r="M61511"/>
    </row>
    <row r="61512" spans="3:13" ht="12.75" customHeight="1">
      <c r="C61512"/>
      <c r="M61512"/>
    </row>
    <row r="61513" spans="3:13" ht="12.75" customHeight="1">
      <c r="C61513"/>
      <c r="M61513"/>
    </row>
    <row r="61514" spans="3:13" ht="12.75" customHeight="1">
      <c r="C61514"/>
      <c r="M61514"/>
    </row>
    <row r="61515" spans="3:13" ht="12.75" customHeight="1">
      <c r="C61515"/>
      <c r="M61515"/>
    </row>
    <row r="61516" spans="3:13" ht="12.75" customHeight="1">
      <c r="C61516"/>
      <c r="M61516"/>
    </row>
    <row r="61517" spans="3:13" ht="12.75" customHeight="1">
      <c r="C61517"/>
      <c r="M61517"/>
    </row>
    <row r="61518" spans="3:13" ht="12.75" customHeight="1">
      <c r="C61518"/>
      <c r="M61518"/>
    </row>
    <row r="61519" spans="3:13" ht="12.75" customHeight="1">
      <c r="C61519"/>
      <c r="M61519"/>
    </row>
    <row r="61520" spans="3:13" ht="12.75" customHeight="1">
      <c r="C61520"/>
      <c r="M61520"/>
    </row>
    <row r="61521" spans="3:13" ht="12.75" customHeight="1">
      <c r="C61521"/>
      <c r="M61521"/>
    </row>
    <row r="61522" spans="3:13" ht="12.75" customHeight="1">
      <c r="C61522"/>
      <c r="M61522"/>
    </row>
    <row r="61523" spans="3:13" ht="12.75" customHeight="1">
      <c r="C61523"/>
      <c r="M61523"/>
    </row>
    <row r="61524" spans="3:13" ht="12.75" customHeight="1">
      <c r="C61524"/>
      <c r="M61524"/>
    </row>
    <row r="61525" spans="3:13" ht="12.75" customHeight="1">
      <c r="C61525"/>
      <c r="M61525"/>
    </row>
    <row r="61526" spans="3:13" ht="12.75" customHeight="1">
      <c r="C61526"/>
      <c r="M61526"/>
    </row>
    <row r="61527" spans="3:13" ht="12.75" customHeight="1">
      <c r="C61527"/>
      <c r="M61527"/>
    </row>
    <row r="61528" spans="3:13" ht="12.75" customHeight="1">
      <c r="C61528"/>
      <c r="M61528"/>
    </row>
    <row r="61529" spans="3:13" ht="12.75" customHeight="1">
      <c r="C61529"/>
      <c r="M61529"/>
    </row>
    <row r="61530" spans="3:13" ht="12.75" customHeight="1">
      <c r="C61530"/>
      <c r="M61530"/>
    </row>
    <row r="61531" spans="3:13" ht="12.75" customHeight="1">
      <c r="C61531"/>
      <c r="M61531"/>
    </row>
    <row r="61532" spans="3:13" ht="12.75" customHeight="1">
      <c r="C61532"/>
      <c r="M61532"/>
    </row>
    <row r="61533" spans="3:13" ht="12.75" customHeight="1">
      <c r="C61533"/>
      <c r="M61533"/>
    </row>
    <row r="61534" spans="3:13" ht="12.75" customHeight="1">
      <c r="C61534"/>
      <c r="M61534"/>
    </row>
    <row r="61535" spans="3:13" ht="12.75" customHeight="1">
      <c r="C61535"/>
      <c r="M61535"/>
    </row>
    <row r="61536" spans="3:13" ht="12.75" customHeight="1">
      <c r="C61536"/>
      <c r="M61536"/>
    </row>
    <row r="61537" spans="3:13" ht="12.75" customHeight="1">
      <c r="C61537"/>
      <c r="M61537"/>
    </row>
    <row r="61538" spans="3:13" ht="12.75" customHeight="1">
      <c r="C61538"/>
      <c r="M61538"/>
    </row>
    <row r="61539" spans="3:13" ht="12.75" customHeight="1">
      <c r="C61539"/>
      <c r="M61539"/>
    </row>
    <row r="61540" spans="3:13" ht="12.75" customHeight="1">
      <c r="C61540"/>
      <c r="M61540"/>
    </row>
    <row r="61541" spans="3:13" ht="12.75" customHeight="1">
      <c r="C61541"/>
      <c r="M61541"/>
    </row>
    <row r="61542" spans="3:13" ht="12.75" customHeight="1">
      <c r="C61542"/>
      <c r="M61542"/>
    </row>
    <row r="61543" spans="3:13" ht="12.75" customHeight="1">
      <c r="C61543"/>
      <c r="M61543"/>
    </row>
    <row r="61544" spans="3:13" ht="12.75" customHeight="1">
      <c r="C61544"/>
      <c r="M61544"/>
    </row>
    <row r="61545" spans="3:13" ht="12.75" customHeight="1">
      <c r="C61545"/>
      <c r="M61545"/>
    </row>
    <row r="61546" spans="3:13" ht="12.75" customHeight="1">
      <c r="C61546"/>
      <c r="M61546"/>
    </row>
    <row r="61547" spans="3:13" ht="12.75" customHeight="1">
      <c r="C61547"/>
      <c r="M61547"/>
    </row>
    <row r="61548" spans="3:13" ht="12.75" customHeight="1">
      <c r="C61548"/>
      <c r="M61548"/>
    </row>
    <row r="61549" spans="3:13" ht="12.75" customHeight="1">
      <c r="C61549"/>
      <c r="M61549"/>
    </row>
    <row r="61550" spans="3:13" ht="12.75" customHeight="1">
      <c r="C61550"/>
      <c r="M61550"/>
    </row>
    <row r="61551" spans="3:13" ht="12.75" customHeight="1">
      <c r="C61551"/>
      <c r="M61551"/>
    </row>
    <row r="61552" spans="3:13" ht="12.75" customHeight="1">
      <c r="C61552"/>
      <c r="M61552"/>
    </row>
    <row r="61553" spans="3:13" ht="12.75" customHeight="1">
      <c r="C61553"/>
      <c r="M61553"/>
    </row>
    <row r="61554" spans="3:13" ht="12.75" customHeight="1">
      <c r="C61554"/>
      <c r="M61554"/>
    </row>
    <row r="61555" spans="3:13" ht="12.75" customHeight="1">
      <c r="C61555"/>
      <c r="M61555"/>
    </row>
    <row r="61556" spans="3:13" ht="12.75" customHeight="1">
      <c r="C61556"/>
      <c r="M61556"/>
    </row>
    <row r="61557" spans="3:13" ht="12.75" customHeight="1">
      <c r="C61557"/>
      <c r="M61557"/>
    </row>
    <row r="61558" spans="3:13" ht="12.75" customHeight="1">
      <c r="C61558"/>
      <c r="M61558"/>
    </row>
    <row r="61559" spans="3:13" ht="12.75" customHeight="1">
      <c r="C61559"/>
      <c r="M61559"/>
    </row>
    <row r="61560" spans="3:13" ht="12.75" customHeight="1">
      <c r="C61560"/>
      <c r="M61560"/>
    </row>
    <row r="61561" spans="3:13" ht="12.75" customHeight="1">
      <c r="C61561"/>
      <c r="M61561"/>
    </row>
    <row r="61562" spans="3:13" ht="12.75" customHeight="1">
      <c r="C61562"/>
      <c r="M61562"/>
    </row>
    <row r="61563" spans="3:13" ht="12.75" customHeight="1">
      <c r="C61563"/>
      <c r="M61563"/>
    </row>
    <row r="61564" spans="3:13" ht="12.75" customHeight="1">
      <c r="C61564"/>
      <c r="M61564"/>
    </row>
    <row r="61565" spans="3:13" ht="12.75" customHeight="1">
      <c r="C61565"/>
      <c r="M61565"/>
    </row>
    <row r="61566" spans="3:13" ht="12.75" customHeight="1">
      <c r="C61566"/>
      <c r="M61566"/>
    </row>
    <row r="61567" spans="3:13" ht="12.75" customHeight="1">
      <c r="C61567"/>
      <c r="M61567"/>
    </row>
    <row r="61568" spans="3:13" ht="12.75" customHeight="1">
      <c r="C61568"/>
      <c r="M61568"/>
    </row>
    <row r="61569" spans="3:13" ht="12.75" customHeight="1">
      <c r="C61569"/>
      <c r="M61569"/>
    </row>
    <row r="61570" spans="3:13" ht="12.75" customHeight="1">
      <c r="C61570"/>
      <c r="M61570"/>
    </row>
    <row r="61571" spans="3:13" ht="12.75" customHeight="1">
      <c r="C61571"/>
      <c r="M61571"/>
    </row>
    <row r="61572" spans="3:13" ht="12.75" customHeight="1">
      <c r="C61572"/>
      <c r="M61572"/>
    </row>
    <row r="61573" spans="3:13" ht="12.75" customHeight="1">
      <c r="C61573"/>
      <c r="M61573"/>
    </row>
    <row r="61574" spans="3:13" ht="12.75" customHeight="1">
      <c r="C61574"/>
      <c r="M61574"/>
    </row>
    <row r="61575" spans="3:13" ht="12.75" customHeight="1">
      <c r="C61575"/>
      <c r="M61575"/>
    </row>
    <row r="61576" spans="3:13" ht="12.75" customHeight="1">
      <c r="C61576"/>
      <c r="M61576"/>
    </row>
    <row r="61577" spans="3:13" ht="12.75" customHeight="1">
      <c r="C61577"/>
      <c r="M61577"/>
    </row>
    <row r="61578" spans="3:13" ht="12.75" customHeight="1">
      <c r="C61578"/>
      <c r="M61578"/>
    </row>
    <row r="61579" spans="3:13" ht="12.75" customHeight="1">
      <c r="C61579"/>
      <c r="M61579"/>
    </row>
    <row r="61580" spans="3:13" ht="12.75" customHeight="1">
      <c r="C61580"/>
      <c r="M61580"/>
    </row>
    <row r="61581" spans="3:13" ht="12.75" customHeight="1">
      <c r="C61581"/>
      <c r="M61581"/>
    </row>
    <row r="61582" spans="3:13" ht="12.75" customHeight="1">
      <c r="C61582"/>
      <c r="M61582"/>
    </row>
    <row r="61583" spans="3:13" ht="12.75" customHeight="1">
      <c r="C61583"/>
      <c r="M61583"/>
    </row>
    <row r="61584" spans="3:13" ht="12.75" customHeight="1">
      <c r="C61584"/>
      <c r="M61584"/>
    </row>
    <row r="61585" spans="3:13" ht="12.75" customHeight="1">
      <c r="C61585"/>
      <c r="M61585"/>
    </row>
    <row r="61586" spans="3:13" ht="12.75" customHeight="1">
      <c r="C61586"/>
      <c r="M61586"/>
    </row>
    <row r="61587" spans="3:13" ht="12.75" customHeight="1">
      <c r="C61587"/>
      <c r="M61587"/>
    </row>
    <row r="61588" spans="3:13" ht="12.75" customHeight="1">
      <c r="C61588"/>
      <c r="M61588"/>
    </row>
    <row r="61589" spans="3:13" ht="12.75" customHeight="1">
      <c r="C61589"/>
      <c r="M61589"/>
    </row>
    <row r="61590" spans="3:13" ht="12.75" customHeight="1">
      <c r="C61590"/>
      <c r="M61590"/>
    </row>
    <row r="61591" spans="3:13" ht="12.75" customHeight="1">
      <c r="C61591"/>
      <c r="M61591"/>
    </row>
    <row r="61592" spans="3:13" ht="12.75" customHeight="1">
      <c r="C61592"/>
      <c r="M61592"/>
    </row>
    <row r="61593" spans="3:13" ht="12.75" customHeight="1">
      <c r="C61593"/>
      <c r="M61593"/>
    </row>
    <row r="61594" spans="3:13" ht="12.75" customHeight="1">
      <c r="C61594"/>
      <c r="M61594"/>
    </row>
    <row r="61595" spans="3:13" ht="12.75" customHeight="1">
      <c r="C61595"/>
      <c r="M61595"/>
    </row>
    <row r="61596" spans="3:13" ht="12.75" customHeight="1">
      <c r="C61596"/>
      <c r="M61596"/>
    </row>
    <row r="61597" spans="3:13" ht="12.75" customHeight="1">
      <c r="C61597"/>
      <c r="M61597"/>
    </row>
    <row r="61598" spans="3:13" ht="12.75" customHeight="1">
      <c r="C61598"/>
      <c r="M61598"/>
    </row>
    <row r="61599" spans="3:13" ht="12.75" customHeight="1">
      <c r="C61599"/>
      <c r="M61599"/>
    </row>
    <row r="61600" spans="3:13" ht="12.75" customHeight="1">
      <c r="C61600"/>
      <c r="M61600"/>
    </row>
    <row r="61601" spans="3:13" ht="12.75" customHeight="1">
      <c r="C61601"/>
      <c r="M61601"/>
    </row>
    <row r="61602" spans="3:13" ht="12.75" customHeight="1">
      <c r="C61602"/>
      <c r="M61602"/>
    </row>
    <row r="61603" spans="3:13" ht="12.75" customHeight="1">
      <c r="C61603"/>
      <c r="M61603"/>
    </row>
    <row r="61604" spans="3:13" ht="12.75" customHeight="1">
      <c r="C61604"/>
      <c r="M61604"/>
    </row>
    <row r="61605" spans="3:13" ht="12.75" customHeight="1">
      <c r="C61605"/>
      <c r="M61605"/>
    </row>
    <row r="61606" spans="3:13" ht="12.75" customHeight="1">
      <c r="C61606"/>
      <c r="M61606"/>
    </row>
    <row r="61607" spans="3:13" ht="12.75" customHeight="1">
      <c r="C61607"/>
      <c r="M61607"/>
    </row>
    <row r="61608" spans="3:13" ht="12.75" customHeight="1">
      <c r="C61608"/>
      <c r="M61608"/>
    </row>
    <row r="61609" spans="3:13" ht="12.75" customHeight="1">
      <c r="C61609"/>
      <c r="M61609"/>
    </row>
    <row r="61610" spans="3:13" ht="12.75" customHeight="1">
      <c r="C61610"/>
      <c r="M61610"/>
    </row>
    <row r="61611" spans="3:13" ht="12.75" customHeight="1">
      <c r="C61611"/>
      <c r="M61611"/>
    </row>
    <row r="61612" spans="3:13" ht="12.75" customHeight="1">
      <c r="C61612"/>
      <c r="M61612"/>
    </row>
    <row r="61613" spans="3:13" ht="12.75" customHeight="1">
      <c r="C61613"/>
      <c r="M61613"/>
    </row>
    <row r="61614" spans="3:13" ht="12.75" customHeight="1">
      <c r="C61614"/>
      <c r="M61614"/>
    </row>
    <row r="61615" spans="3:13" ht="12.75" customHeight="1">
      <c r="C61615"/>
      <c r="M61615"/>
    </row>
    <row r="61616" spans="3:13" ht="12.75" customHeight="1">
      <c r="C61616"/>
      <c r="M61616"/>
    </row>
    <row r="61617" spans="3:13" ht="12.75" customHeight="1">
      <c r="C61617"/>
      <c r="M61617"/>
    </row>
    <row r="61618" spans="3:13" ht="12.75" customHeight="1">
      <c r="C61618"/>
      <c r="M61618"/>
    </row>
    <row r="61619" spans="3:13" ht="12.75" customHeight="1">
      <c r="C61619"/>
      <c r="M61619"/>
    </row>
    <row r="61620" spans="3:13" ht="12.75" customHeight="1">
      <c r="C61620"/>
      <c r="M61620"/>
    </row>
    <row r="61621" spans="3:13" ht="12.75" customHeight="1">
      <c r="C61621"/>
      <c r="M61621"/>
    </row>
    <row r="61622" spans="3:13" ht="12.75" customHeight="1">
      <c r="C61622"/>
      <c r="M61622"/>
    </row>
    <row r="61623" spans="3:13" ht="12.75" customHeight="1">
      <c r="C61623"/>
      <c r="M61623"/>
    </row>
    <row r="61624" spans="3:13" ht="12.75" customHeight="1">
      <c r="C61624"/>
      <c r="M61624"/>
    </row>
    <row r="61625" spans="3:13" ht="12.75" customHeight="1">
      <c r="C61625"/>
      <c r="M61625"/>
    </row>
    <row r="61626" spans="3:13" ht="12.75" customHeight="1">
      <c r="C61626"/>
      <c r="M61626"/>
    </row>
    <row r="61627" spans="3:13" ht="12.75" customHeight="1">
      <c r="C61627"/>
      <c r="M61627"/>
    </row>
    <row r="61628" spans="3:13" ht="12.75" customHeight="1">
      <c r="C61628"/>
      <c r="M61628"/>
    </row>
    <row r="61629" spans="3:13" ht="12.75" customHeight="1">
      <c r="C61629"/>
      <c r="M61629"/>
    </row>
    <row r="61630" spans="3:13" ht="12.75" customHeight="1">
      <c r="C61630"/>
      <c r="M61630"/>
    </row>
    <row r="61631" spans="3:13" ht="12.75" customHeight="1">
      <c r="C61631"/>
      <c r="M61631"/>
    </row>
    <row r="61632" spans="3:13" ht="12.75" customHeight="1">
      <c r="C61632"/>
      <c r="M61632"/>
    </row>
    <row r="61633" spans="3:13" ht="12.75" customHeight="1">
      <c r="C61633"/>
      <c r="M61633"/>
    </row>
    <row r="61634" spans="3:13" ht="12.75" customHeight="1">
      <c r="C61634"/>
      <c r="M61634"/>
    </row>
    <row r="61635" spans="3:13" ht="12.75" customHeight="1">
      <c r="C61635"/>
      <c r="M61635"/>
    </row>
    <row r="61636" spans="3:13" ht="12.75" customHeight="1">
      <c r="C61636"/>
      <c r="M61636"/>
    </row>
    <row r="61637" spans="3:13" ht="12.75" customHeight="1">
      <c r="C61637"/>
      <c r="M61637"/>
    </row>
    <row r="61638" spans="3:13" ht="12.75" customHeight="1">
      <c r="C61638"/>
      <c r="M61638"/>
    </row>
    <row r="61639" spans="3:13" ht="12.75" customHeight="1">
      <c r="C61639"/>
      <c r="M61639"/>
    </row>
    <row r="61640" spans="3:13" ht="12.75" customHeight="1">
      <c r="C61640"/>
      <c r="M61640"/>
    </row>
    <row r="61641" spans="3:13" ht="12.75" customHeight="1">
      <c r="C61641"/>
      <c r="M61641"/>
    </row>
    <row r="61642" spans="3:13" ht="12.75" customHeight="1">
      <c r="C61642"/>
      <c r="M61642"/>
    </row>
    <row r="61643" spans="3:13" ht="12.75" customHeight="1">
      <c r="C61643"/>
      <c r="M61643"/>
    </row>
    <row r="61644" spans="3:13" ht="12.75" customHeight="1">
      <c r="C61644"/>
      <c r="M61644"/>
    </row>
    <row r="61645" spans="3:13" ht="12.75" customHeight="1">
      <c r="C61645"/>
      <c r="M61645"/>
    </row>
    <row r="61646" spans="3:13" ht="12.75" customHeight="1">
      <c r="C61646"/>
      <c r="M61646"/>
    </row>
    <row r="61647" spans="3:13" ht="12.75" customHeight="1">
      <c r="C61647"/>
      <c r="M61647"/>
    </row>
    <row r="61648" spans="3:13" ht="12.75" customHeight="1">
      <c r="C61648"/>
      <c r="M61648"/>
    </row>
    <row r="61649" spans="3:13" ht="12.75" customHeight="1">
      <c r="C61649"/>
      <c r="M61649"/>
    </row>
    <row r="61650" spans="3:13" ht="12.75" customHeight="1">
      <c r="C61650"/>
      <c r="M61650"/>
    </row>
    <row r="61651" spans="3:13" ht="12.75" customHeight="1">
      <c r="C61651"/>
      <c r="M61651"/>
    </row>
    <row r="61652" spans="3:13" ht="12.75" customHeight="1">
      <c r="C61652"/>
      <c r="M61652"/>
    </row>
    <row r="61653" spans="3:13" ht="12.75" customHeight="1">
      <c r="C61653"/>
      <c r="M61653"/>
    </row>
    <row r="61654" spans="3:13" ht="12.75" customHeight="1">
      <c r="C61654"/>
      <c r="M61654"/>
    </row>
    <row r="61655" spans="3:13" ht="12.75" customHeight="1">
      <c r="C61655"/>
      <c r="M61655"/>
    </row>
    <row r="61656" spans="3:13" ht="12.75" customHeight="1">
      <c r="C61656"/>
      <c r="M61656"/>
    </row>
    <row r="61657" spans="3:13" ht="12.75" customHeight="1">
      <c r="C61657"/>
      <c r="M61657"/>
    </row>
    <row r="61658" spans="3:13" ht="12.75" customHeight="1">
      <c r="C61658"/>
      <c r="M61658"/>
    </row>
    <row r="61659" spans="3:13" ht="12.75" customHeight="1">
      <c r="C61659"/>
      <c r="M61659"/>
    </row>
    <row r="61660" spans="3:13" ht="12.75" customHeight="1">
      <c r="C61660"/>
      <c r="M61660"/>
    </row>
    <row r="61661" spans="3:13" ht="12.75" customHeight="1">
      <c r="C61661"/>
      <c r="M61661"/>
    </row>
    <row r="61662" spans="3:13" ht="12.75" customHeight="1">
      <c r="C61662"/>
      <c r="M61662"/>
    </row>
    <row r="61663" spans="3:13" ht="12.75" customHeight="1">
      <c r="C61663"/>
      <c r="M61663"/>
    </row>
    <row r="61664" spans="3:13" ht="12.75" customHeight="1">
      <c r="C61664"/>
      <c r="M61664"/>
    </row>
    <row r="61665" spans="3:13" ht="12.75" customHeight="1">
      <c r="C61665"/>
      <c r="M61665"/>
    </row>
    <row r="61666" spans="3:13" ht="12.75" customHeight="1">
      <c r="C61666"/>
      <c r="M61666"/>
    </row>
    <row r="61667" spans="3:13" ht="12.75" customHeight="1">
      <c r="C61667"/>
      <c r="M61667"/>
    </row>
    <row r="61668" spans="3:13" ht="12.75" customHeight="1">
      <c r="C61668"/>
      <c r="M61668"/>
    </row>
    <row r="61669" spans="3:13" ht="12.75" customHeight="1">
      <c r="C61669"/>
      <c r="M61669"/>
    </row>
    <row r="61670" spans="3:13" ht="12.75" customHeight="1">
      <c r="C61670"/>
      <c r="M61670"/>
    </row>
    <row r="61671" spans="3:13" ht="12.75" customHeight="1">
      <c r="C61671"/>
      <c r="M61671"/>
    </row>
    <row r="61672" spans="3:13" ht="12.75" customHeight="1">
      <c r="C61672"/>
      <c r="M61672"/>
    </row>
    <row r="61673" spans="3:13" ht="12.75" customHeight="1">
      <c r="C61673"/>
      <c r="M61673"/>
    </row>
    <row r="61674" spans="3:13" ht="12.75" customHeight="1">
      <c r="C61674"/>
      <c r="M61674"/>
    </row>
    <row r="61675" spans="3:13" ht="12.75" customHeight="1">
      <c r="C61675"/>
      <c r="M61675"/>
    </row>
    <row r="61676" spans="3:13" ht="12.75" customHeight="1">
      <c r="C61676"/>
      <c r="M61676"/>
    </row>
    <row r="61677" spans="3:13" ht="12.75" customHeight="1">
      <c r="C61677"/>
      <c r="M61677"/>
    </row>
    <row r="61678" spans="3:13" ht="12.75" customHeight="1">
      <c r="C61678"/>
      <c r="M61678"/>
    </row>
    <row r="61679" spans="3:13" ht="12.75" customHeight="1">
      <c r="C61679"/>
      <c r="M61679"/>
    </row>
    <row r="61680" spans="3:13" ht="12.75" customHeight="1">
      <c r="C61680"/>
      <c r="M61680"/>
    </row>
    <row r="61681" spans="3:13" ht="12.75" customHeight="1">
      <c r="C61681"/>
      <c r="M61681"/>
    </row>
    <row r="61682" spans="3:13" ht="12.75" customHeight="1">
      <c r="C61682"/>
      <c r="M61682"/>
    </row>
    <row r="61683" spans="3:13" ht="12.75" customHeight="1">
      <c r="C61683"/>
      <c r="M61683"/>
    </row>
    <row r="61684" spans="3:13" ht="12.75" customHeight="1">
      <c r="C61684"/>
      <c r="M61684"/>
    </row>
    <row r="61685" spans="3:13" ht="12.75" customHeight="1">
      <c r="C61685"/>
      <c r="M61685"/>
    </row>
    <row r="61686" spans="3:13" ht="12.75" customHeight="1">
      <c r="C61686"/>
      <c r="M61686"/>
    </row>
    <row r="61687" spans="3:13" ht="12.75" customHeight="1">
      <c r="C61687"/>
      <c r="M61687"/>
    </row>
    <row r="61688" spans="3:13" ht="12.75" customHeight="1">
      <c r="C61688"/>
      <c r="M61688"/>
    </row>
    <row r="61689" spans="3:13" ht="12.75" customHeight="1">
      <c r="C61689"/>
      <c r="M61689"/>
    </row>
    <row r="61690" spans="3:13" ht="12.75" customHeight="1">
      <c r="C61690"/>
      <c r="M61690"/>
    </row>
    <row r="61691" spans="3:13" ht="12.75" customHeight="1">
      <c r="C61691"/>
      <c r="M61691"/>
    </row>
    <row r="61692" spans="3:13" ht="12.75" customHeight="1">
      <c r="C61692"/>
      <c r="M61692"/>
    </row>
    <row r="61693" spans="3:13" ht="12.75" customHeight="1">
      <c r="C61693"/>
      <c r="M61693"/>
    </row>
    <row r="61694" spans="3:13" ht="12.75" customHeight="1">
      <c r="C61694"/>
      <c r="M61694"/>
    </row>
    <row r="61695" spans="3:13" ht="12.75" customHeight="1">
      <c r="C61695"/>
      <c r="M61695"/>
    </row>
    <row r="61696" spans="3:13" ht="12.75" customHeight="1">
      <c r="C61696"/>
      <c r="M61696"/>
    </row>
    <row r="61697" spans="3:13" ht="12.75" customHeight="1">
      <c r="C61697"/>
      <c r="M61697"/>
    </row>
    <row r="61698" spans="3:13" ht="12.75" customHeight="1">
      <c r="C61698"/>
      <c r="M61698"/>
    </row>
    <row r="61699" spans="3:13" ht="12.75" customHeight="1">
      <c r="C61699"/>
      <c r="M61699"/>
    </row>
    <row r="61700" spans="3:13" ht="12.75" customHeight="1">
      <c r="C61700"/>
      <c r="M61700"/>
    </row>
    <row r="61701" spans="3:13" ht="12.75" customHeight="1">
      <c r="C61701"/>
      <c r="M61701"/>
    </row>
    <row r="61702" spans="3:13" ht="12.75" customHeight="1">
      <c r="C61702"/>
      <c r="M61702"/>
    </row>
    <row r="61703" spans="3:13" ht="12.75" customHeight="1">
      <c r="C61703"/>
      <c r="M61703"/>
    </row>
    <row r="61704" spans="3:13" ht="12.75" customHeight="1">
      <c r="C61704"/>
      <c r="M61704"/>
    </row>
    <row r="61705" spans="3:13" ht="12.75" customHeight="1">
      <c r="C61705"/>
      <c r="M61705"/>
    </row>
    <row r="61706" spans="3:13" ht="12.75" customHeight="1">
      <c r="C61706"/>
      <c r="M61706"/>
    </row>
    <row r="61707" spans="3:13" ht="12.75" customHeight="1">
      <c r="C61707"/>
      <c r="M61707"/>
    </row>
    <row r="61708" spans="3:13" ht="12.75" customHeight="1">
      <c r="C61708"/>
      <c r="M61708"/>
    </row>
    <row r="61709" spans="3:13" ht="12.75" customHeight="1">
      <c r="C61709"/>
      <c r="M61709"/>
    </row>
    <row r="61710" spans="3:13" ht="12.75" customHeight="1">
      <c r="C61710"/>
      <c r="M61710"/>
    </row>
    <row r="61711" spans="3:13" ht="12.75" customHeight="1">
      <c r="C61711"/>
      <c r="M61711"/>
    </row>
    <row r="61712" spans="3:13" ht="12.75" customHeight="1">
      <c r="C61712"/>
      <c r="M61712"/>
    </row>
    <row r="61713" spans="3:13" ht="12.75" customHeight="1">
      <c r="C61713"/>
      <c r="M61713"/>
    </row>
    <row r="61714" spans="3:13" ht="12.75" customHeight="1">
      <c r="C61714"/>
      <c r="M61714"/>
    </row>
    <row r="61715" spans="3:13" ht="12.75" customHeight="1">
      <c r="C61715"/>
      <c r="M61715"/>
    </row>
    <row r="61716" spans="3:13" ht="12.75" customHeight="1">
      <c r="C61716"/>
      <c r="M61716"/>
    </row>
    <row r="61717" spans="3:13" ht="12.75" customHeight="1">
      <c r="C61717"/>
      <c r="M61717"/>
    </row>
    <row r="61718" spans="3:13" ht="12.75" customHeight="1">
      <c r="C61718"/>
      <c r="M61718"/>
    </row>
    <row r="61719" spans="3:13" ht="12.75" customHeight="1">
      <c r="C61719"/>
      <c r="M61719"/>
    </row>
    <row r="61720" spans="3:13" ht="12.75" customHeight="1">
      <c r="C61720"/>
      <c r="M61720"/>
    </row>
    <row r="61721" spans="3:13" ht="12.75" customHeight="1">
      <c r="C61721"/>
      <c r="M61721"/>
    </row>
    <row r="61722" spans="3:13" ht="12.75" customHeight="1">
      <c r="C61722"/>
      <c r="M61722"/>
    </row>
    <row r="61723" spans="3:13" ht="12.75" customHeight="1">
      <c r="C61723"/>
      <c r="M61723"/>
    </row>
    <row r="61724" spans="3:13" ht="12.75" customHeight="1">
      <c r="C61724"/>
      <c r="M61724"/>
    </row>
    <row r="61725" spans="3:13" ht="12.75" customHeight="1">
      <c r="C61725"/>
      <c r="M61725"/>
    </row>
    <row r="61726" spans="3:13" ht="12.75" customHeight="1">
      <c r="C61726"/>
      <c r="M61726"/>
    </row>
    <row r="61727" spans="3:13" ht="12.75" customHeight="1">
      <c r="C61727"/>
      <c r="M61727"/>
    </row>
    <row r="61728" spans="3:13" ht="12.75" customHeight="1">
      <c r="C61728"/>
      <c r="M61728"/>
    </row>
    <row r="61729" spans="3:13" ht="12.75" customHeight="1">
      <c r="C61729"/>
      <c r="M61729"/>
    </row>
    <row r="61730" spans="3:13" ht="12.75" customHeight="1">
      <c r="C61730"/>
      <c r="M61730"/>
    </row>
    <row r="61731" spans="3:13" ht="12.75" customHeight="1">
      <c r="C61731"/>
      <c r="M61731"/>
    </row>
    <row r="61732" spans="3:13" ht="12.75" customHeight="1">
      <c r="C61732"/>
      <c r="M61732"/>
    </row>
    <row r="61733" spans="3:13" ht="12.75" customHeight="1">
      <c r="C61733"/>
      <c r="M61733"/>
    </row>
    <row r="61734" spans="3:13" ht="12.75" customHeight="1">
      <c r="C61734"/>
      <c r="M61734"/>
    </row>
    <row r="61735" spans="3:13" ht="12.75" customHeight="1">
      <c r="C61735"/>
      <c r="M61735"/>
    </row>
    <row r="61736" spans="3:13" ht="12.75" customHeight="1">
      <c r="C61736"/>
      <c r="M61736"/>
    </row>
    <row r="61737" spans="3:13" ht="12.75" customHeight="1">
      <c r="C61737"/>
      <c r="M61737"/>
    </row>
    <row r="61738" spans="3:13" ht="12.75" customHeight="1">
      <c r="C61738"/>
      <c r="M61738"/>
    </row>
    <row r="61739" spans="3:13" ht="12.75" customHeight="1">
      <c r="C61739"/>
      <c r="M61739"/>
    </row>
    <row r="61740" spans="3:13" ht="12.75" customHeight="1">
      <c r="C61740"/>
      <c r="M61740"/>
    </row>
    <row r="61741" spans="3:13" ht="12.75" customHeight="1">
      <c r="C61741"/>
      <c r="M61741"/>
    </row>
    <row r="61742" spans="3:13" ht="12.75" customHeight="1">
      <c r="C61742"/>
      <c r="M61742"/>
    </row>
    <row r="61743" spans="3:13" ht="12.75" customHeight="1">
      <c r="C61743"/>
      <c r="M61743"/>
    </row>
    <row r="61744" spans="3:13" ht="12.75" customHeight="1">
      <c r="C61744"/>
      <c r="M61744"/>
    </row>
    <row r="61745" spans="3:13" ht="12.75" customHeight="1">
      <c r="C61745"/>
      <c r="M61745"/>
    </row>
    <row r="61746" spans="3:13" ht="12.75" customHeight="1">
      <c r="C61746"/>
      <c r="M61746"/>
    </row>
    <row r="61747" spans="3:13" ht="12.75" customHeight="1">
      <c r="C61747"/>
      <c r="M61747"/>
    </row>
    <row r="61748" spans="3:13" ht="12.75" customHeight="1">
      <c r="C61748"/>
      <c r="M61748"/>
    </row>
    <row r="61749" spans="3:13" ht="12.75" customHeight="1">
      <c r="C61749"/>
      <c r="M61749"/>
    </row>
    <row r="61750" spans="3:13" ht="12.75" customHeight="1">
      <c r="C61750"/>
      <c r="M61750"/>
    </row>
    <row r="61751" spans="3:13" ht="12.75" customHeight="1">
      <c r="C61751"/>
      <c r="M61751"/>
    </row>
    <row r="61752" spans="3:13" ht="12.75" customHeight="1">
      <c r="C61752"/>
      <c r="M61752"/>
    </row>
    <row r="61753" spans="3:13" ht="12.75" customHeight="1">
      <c r="C61753"/>
      <c r="M61753"/>
    </row>
    <row r="61754" spans="3:13" ht="12.75" customHeight="1">
      <c r="C61754"/>
      <c r="M61754"/>
    </row>
    <row r="61755" spans="3:13" ht="12.75" customHeight="1">
      <c r="C61755"/>
      <c r="M61755"/>
    </row>
    <row r="61756" spans="3:13" ht="12.75" customHeight="1">
      <c r="C61756"/>
      <c r="M61756"/>
    </row>
    <row r="61757" spans="3:13" ht="12.75" customHeight="1">
      <c r="C61757"/>
      <c r="M61757"/>
    </row>
    <row r="61758" spans="3:13" ht="12.75" customHeight="1">
      <c r="C61758"/>
      <c r="M61758"/>
    </row>
    <row r="61759" spans="3:13" ht="12.75" customHeight="1">
      <c r="C61759"/>
      <c r="M61759"/>
    </row>
    <row r="61760" spans="3:13" ht="12.75" customHeight="1">
      <c r="C61760"/>
      <c r="M61760"/>
    </row>
    <row r="61761" spans="3:13" ht="12.75" customHeight="1">
      <c r="C61761"/>
      <c r="M61761"/>
    </row>
    <row r="61762" spans="3:13" ht="12.75" customHeight="1">
      <c r="C61762"/>
      <c r="M61762"/>
    </row>
    <row r="61763" spans="3:13" ht="12.75" customHeight="1">
      <c r="C61763"/>
      <c r="M61763"/>
    </row>
    <row r="61764" spans="3:13" ht="12.75" customHeight="1">
      <c r="C61764"/>
      <c r="M61764"/>
    </row>
    <row r="61765" spans="3:13" ht="12.75" customHeight="1">
      <c r="C61765"/>
      <c r="M61765"/>
    </row>
    <row r="61766" spans="3:13" ht="12.75" customHeight="1">
      <c r="C61766"/>
      <c r="M61766"/>
    </row>
    <row r="61767" spans="3:13" ht="12.75" customHeight="1">
      <c r="C61767"/>
      <c r="M61767"/>
    </row>
    <row r="61768" spans="3:13" ht="12.75" customHeight="1">
      <c r="C61768"/>
      <c r="M61768"/>
    </row>
    <row r="61769" spans="3:13" ht="12.75" customHeight="1">
      <c r="C61769"/>
      <c r="M61769"/>
    </row>
    <row r="61770" spans="3:13" ht="12.75" customHeight="1">
      <c r="C61770"/>
      <c r="M61770"/>
    </row>
    <row r="61771" spans="3:13" ht="12.75" customHeight="1">
      <c r="C61771"/>
      <c r="M61771"/>
    </row>
    <row r="61772" spans="3:13" ht="12.75" customHeight="1">
      <c r="C61772"/>
      <c r="M61772"/>
    </row>
    <row r="61773" spans="3:13" ht="12.75" customHeight="1">
      <c r="C61773"/>
      <c r="M61773"/>
    </row>
    <row r="61774" spans="3:13" ht="12.75" customHeight="1">
      <c r="C61774"/>
      <c r="M61774"/>
    </row>
    <row r="61775" spans="3:13" ht="12.75" customHeight="1">
      <c r="C61775"/>
      <c r="M61775"/>
    </row>
    <row r="61776" spans="3:13" ht="12.75" customHeight="1">
      <c r="C61776"/>
      <c r="M61776"/>
    </row>
    <row r="61777" spans="3:13" ht="12.75" customHeight="1">
      <c r="C61777"/>
      <c r="M61777"/>
    </row>
    <row r="61778" spans="3:13" ht="12.75" customHeight="1">
      <c r="C61778"/>
      <c r="M61778"/>
    </row>
    <row r="61779" spans="3:13" ht="12.75" customHeight="1">
      <c r="C61779"/>
      <c r="M61779"/>
    </row>
    <row r="61780" spans="3:13" ht="12.75" customHeight="1">
      <c r="C61780"/>
      <c r="M61780"/>
    </row>
    <row r="61781" spans="3:13" ht="12.75" customHeight="1">
      <c r="C61781"/>
      <c r="M61781"/>
    </row>
    <row r="61782" spans="3:13" ht="12.75" customHeight="1">
      <c r="C61782"/>
      <c r="M61782"/>
    </row>
    <row r="61783" spans="3:13" ht="12.75" customHeight="1">
      <c r="C61783"/>
      <c r="M61783"/>
    </row>
    <row r="61784" spans="3:13" ht="12.75" customHeight="1">
      <c r="C61784"/>
      <c r="M61784"/>
    </row>
    <row r="61785" spans="3:13" ht="12.75" customHeight="1">
      <c r="C61785"/>
      <c r="M61785"/>
    </row>
    <row r="61786" spans="3:13" ht="12.75" customHeight="1">
      <c r="C61786"/>
      <c r="M61786"/>
    </row>
    <row r="61787" spans="3:13" ht="12.75" customHeight="1">
      <c r="C61787"/>
      <c r="M61787"/>
    </row>
    <row r="61788" spans="3:13" ht="12.75" customHeight="1">
      <c r="C61788"/>
      <c r="M61788"/>
    </row>
    <row r="61789" spans="3:13" ht="12.75" customHeight="1">
      <c r="C61789"/>
      <c r="M61789"/>
    </row>
    <row r="61790" spans="3:13" ht="12.75" customHeight="1">
      <c r="C61790"/>
      <c r="M61790"/>
    </row>
    <row r="61791" spans="3:13" ht="12.75" customHeight="1">
      <c r="C61791"/>
      <c r="M61791"/>
    </row>
    <row r="61792" spans="3:13" ht="12.75" customHeight="1">
      <c r="C61792"/>
      <c r="M61792"/>
    </row>
    <row r="61793" spans="3:13" ht="12.75" customHeight="1">
      <c r="C61793"/>
      <c r="M61793"/>
    </row>
    <row r="61794" spans="3:13" ht="12.75" customHeight="1">
      <c r="C61794"/>
      <c r="M61794"/>
    </row>
    <row r="61795" spans="3:13" ht="12.75" customHeight="1">
      <c r="C61795"/>
      <c r="M61795"/>
    </row>
    <row r="61796" spans="3:13" ht="12.75" customHeight="1">
      <c r="C61796"/>
      <c r="M61796"/>
    </row>
    <row r="61797" spans="3:13" ht="12.75" customHeight="1">
      <c r="C61797"/>
      <c r="M61797"/>
    </row>
    <row r="61798" spans="3:13" ht="12.75" customHeight="1">
      <c r="C61798"/>
      <c r="M61798"/>
    </row>
    <row r="61799" spans="3:13" ht="12.75" customHeight="1">
      <c r="C61799"/>
      <c r="M61799"/>
    </row>
    <row r="61800" spans="3:13" ht="12.75" customHeight="1">
      <c r="C61800"/>
      <c r="M61800"/>
    </row>
    <row r="61801" spans="3:13" ht="12.75" customHeight="1">
      <c r="C61801"/>
      <c r="M61801"/>
    </row>
    <row r="61802" spans="3:13" ht="12.75" customHeight="1">
      <c r="C61802"/>
      <c r="M61802"/>
    </row>
    <row r="61803" spans="3:13" ht="12.75" customHeight="1">
      <c r="C61803"/>
      <c r="M61803"/>
    </row>
    <row r="61804" spans="3:13" ht="12.75" customHeight="1">
      <c r="C61804"/>
      <c r="M61804"/>
    </row>
    <row r="61805" spans="3:13" ht="12.75" customHeight="1">
      <c r="C61805"/>
      <c r="M61805"/>
    </row>
    <row r="61806" spans="3:13" ht="12.75" customHeight="1">
      <c r="C61806"/>
      <c r="M61806"/>
    </row>
    <row r="61807" spans="3:13" ht="12.75" customHeight="1">
      <c r="C61807"/>
      <c r="M61807"/>
    </row>
    <row r="61808" spans="3:13" ht="12.75" customHeight="1">
      <c r="C61808"/>
      <c r="M61808"/>
    </row>
    <row r="61809" spans="3:13" ht="12.75" customHeight="1">
      <c r="C61809"/>
      <c r="M61809"/>
    </row>
    <row r="61810" spans="3:13" ht="12.75" customHeight="1">
      <c r="C61810"/>
      <c r="M61810"/>
    </row>
    <row r="61811" spans="3:13" ht="12.75" customHeight="1">
      <c r="C61811"/>
      <c r="M61811"/>
    </row>
    <row r="61812" spans="3:13" ht="12.75" customHeight="1">
      <c r="C61812"/>
      <c r="M61812"/>
    </row>
    <row r="61813" spans="3:13" ht="12.75" customHeight="1">
      <c r="C61813"/>
      <c r="M61813"/>
    </row>
    <row r="61814" spans="3:13" ht="12.75" customHeight="1">
      <c r="C61814"/>
      <c r="M61814"/>
    </row>
    <row r="61815" spans="3:13" ht="12.75" customHeight="1">
      <c r="C61815"/>
      <c r="M61815"/>
    </row>
    <row r="61816" spans="3:13" ht="12.75" customHeight="1">
      <c r="C61816"/>
      <c r="M61816"/>
    </row>
    <row r="61817" spans="3:13" ht="12.75" customHeight="1">
      <c r="C61817"/>
      <c r="M61817"/>
    </row>
    <row r="61818" spans="3:13" ht="12.75" customHeight="1">
      <c r="C61818"/>
      <c r="M61818"/>
    </row>
    <row r="61819" spans="3:13" ht="12.75" customHeight="1">
      <c r="C61819"/>
      <c r="M61819"/>
    </row>
    <row r="61820" spans="3:13" ht="12.75" customHeight="1">
      <c r="C61820"/>
      <c r="M61820"/>
    </row>
    <row r="61821" spans="3:13" ht="12.75" customHeight="1">
      <c r="C61821"/>
      <c r="M61821"/>
    </row>
    <row r="61822" spans="3:13" ht="12.75" customHeight="1">
      <c r="C61822"/>
      <c r="M61822"/>
    </row>
    <row r="61823" spans="3:13" ht="12.75" customHeight="1">
      <c r="C61823"/>
      <c r="M61823"/>
    </row>
    <row r="61824" spans="3:13" ht="12.75" customHeight="1">
      <c r="C61824"/>
      <c r="M61824"/>
    </row>
    <row r="61825" spans="3:13" ht="12.75" customHeight="1">
      <c r="C61825"/>
      <c r="M61825"/>
    </row>
    <row r="61826" spans="3:13" ht="12.75" customHeight="1">
      <c r="C61826"/>
      <c r="M61826"/>
    </row>
    <row r="61827" spans="3:13" ht="12.75" customHeight="1">
      <c r="C61827"/>
      <c r="M61827"/>
    </row>
    <row r="61828" spans="3:13" ht="12.75" customHeight="1">
      <c r="C61828"/>
      <c r="M61828"/>
    </row>
    <row r="61829" spans="3:13" ht="12.75" customHeight="1">
      <c r="C61829"/>
      <c r="M61829"/>
    </row>
    <row r="61830" spans="3:13" ht="12.75" customHeight="1">
      <c r="C61830"/>
      <c r="M61830"/>
    </row>
    <row r="61831" spans="3:13" ht="12.75" customHeight="1">
      <c r="C61831"/>
      <c r="M61831"/>
    </row>
    <row r="61832" spans="3:13" ht="12.75" customHeight="1">
      <c r="C61832"/>
      <c r="M61832"/>
    </row>
    <row r="61833" spans="3:13" ht="12.75" customHeight="1">
      <c r="C61833"/>
      <c r="M61833"/>
    </row>
    <row r="61834" spans="3:13" ht="12.75" customHeight="1">
      <c r="C61834"/>
      <c r="M61834"/>
    </row>
    <row r="61835" spans="3:13" ht="12.75" customHeight="1">
      <c r="C61835"/>
      <c r="M61835"/>
    </row>
    <row r="61836" spans="3:13" ht="12.75" customHeight="1">
      <c r="C61836"/>
      <c r="M61836"/>
    </row>
    <row r="61837" spans="3:13" ht="12.75" customHeight="1">
      <c r="C61837"/>
      <c r="M61837"/>
    </row>
    <row r="61838" spans="3:13" ht="12.75" customHeight="1">
      <c r="C61838"/>
      <c r="M61838"/>
    </row>
    <row r="61839" spans="3:13" ht="12.75" customHeight="1">
      <c r="C61839"/>
      <c r="M61839"/>
    </row>
    <row r="61840" spans="3:13" ht="12.75" customHeight="1">
      <c r="C61840"/>
      <c r="M61840"/>
    </row>
    <row r="61841" spans="3:13" ht="12.75" customHeight="1">
      <c r="C61841"/>
      <c r="M61841"/>
    </row>
    <row r="61842" spans="3:13" ht="12.75" customHeight="1">
      <c r="C61842"/>
      <c r="M61842"/>
    </row>
    <row r="61843" spans="3:13" ht="12.75" customHeight="1">
      <c r="C61843"/>
      <c r="M61843"/>
    </row>
    <row r="61844" spans="3:13" ht="12.75" customHeight="1">
      <c r="C61844"/>
      <c r="M61844"/>
    </row>
    <row r="61845" spans="3:13" ht="12.75" customHeight="1">
      <c r="C61845"/>
      <c r="M61845"/>
    </row>
    <row r="61846" spans="3:13" ht="12.75" customHeight="1">
      <c r="C61846"/>
      <c r="M61846"/>
    </row>
    <row r="61847" spans="3:13" ht="12.75" customHeight="1">
      <c r="C61847"/>
      <c r="M61847"/>
    </row>
    <row r="61848" spans="3:13" ht="12.75" customHeight="1">
      <c r="C61848"/>
      <c r="M61848"/>
    </row>
    <row r="61849" spans="3:13" ht="12.75" customHeight="1">
      <c r="C61849"/>
      <c r="M61849"/>
    </row>
    <row r="61850" spans="3:13" ht="12.75" customHeight="1">
      <c r="C61850"/>
      <c r="M61850"/>
    </row>
    <row r="61851" spans="3:13" ht="12.75" customHeight="1">
      <c r="C61851"/>
      <c r="M61851"/>
    </row>
    <row r="61852" spans="3:13" ht="12.75" customHeight="1">
      <c r="C61852"/>
      <c r="M61852"/>
    </row>
    <row r="61853" spans="3:13" ht="12.75" customHeight="1">
      <c r="C61853"/>
      <c r="M61853"/>
    </row>
    <row r="61854" spans="3:13" ht="12.75" customHeight="1">
      <c r="C61854"/>
      <c r="M61854"/>
    </row>
    <row r="61855" spans="3:13" ht="12.75" customHeight="1">
      <c r="C61855"/>
      <c r="M61855"/>
    </row>
    <row r="61856" spans="3:13" ht="12.75" customHeight="1">
      <c r="C61856"/>
      <c r="M61856"/>
    </row>
    <row r="61857" spans="3:13" ht="12.75" customHeight="1">
      <c r="C61857"/>
      <c r="M61857"/>
    </row>
    <row r="61858" spans="3:13" ht="12.75" customHeight="1">
      <c r="C61858"/>
      <c r="M61858"/>
    </row>
    <row r="61859" spans="3:13" ht="12.75" customHeight="1">
      <c r="C61859"/>
      <c r="M61859"/>
    </row>
    <row r="61860" spans="3:13" ht="12.75" customHeight="1">
      <c r="C61860"/>
      <c r="M61860"/>
    </row>
    <row r="61861" spans="3:13" ht="12.75" customHeight="1">
      <c r="C61861"/>
      <c r="M61861"/>
    </row>
    <row r="61862" spans="3:13" ht="12.75" customHeight="1">
      <c r="C61862"/>
      <c r="M61862"/>
    </row>
    <row r="61863" spans="3:13" ht="12.75" customHeight="1">
      <c r="C61863"/>
      <c r="M61863"/>
    </row>
    <row r="61864" spans="3:13" ht="12.75" customHeight="1">
      <c r="C61864"/>
      <c r="M61864"/>
    </row>
    <row r="61865" spans="3:13" ht="12.75" customHeight="1">
      <c r="C61865"/>
      <c r="M61865"/>
    </row>
    <row r="61866" spans="3:13" ht="12.75" customHeight="1">
      <c r="C61866"/>
      <c r="M61866"/>
    </row>
    <row r="61867" spans="3:13" ht="12.75" customHeight="1">
      <c r="C61867"/>
      <c r="M61867"/>
    </row>
    <row r="61868" spans="3:13" ht="12.75" customHeight="1">
      <c r="C61868"/>
      <c r="M61868"/>
    </row>
    <row r="61869" spans="3:13" ht="12.75" customHeight="1">
      <c r="C61869"/>
      <c r="M61869"/>
    </row>
    <row r="61870" spans="3:13" ht="12.75" customHeight="1">
      <c r="C61870"/>
      <c r="M61870"/>
    </row>
    <row r="61871" spans="3:13" ht="12.75" customHeight="1">
      <c r="C61871"/>
      <c r="M61871"/>
    </row>
    <row r="61872" spans="3:13" ht="12.75" customHeight="1">
      <c r="C61872"/>
      <c r="M61872"/>
    </row>
    <row r="61873" spans="3:13" ht="12.75" customHeight="1">
      <c r="C61873"/>
      <c r="M61873"/>
    </row>
    <row r="61874" spans="3:13" ht="12.75" customHeight="1">
      <c r="C61874"/>
      <c r="M61874"/>
    </row>
    <row r="61875" spans="3:13" ht="12.75" customHeight="1">
      <c r="C61875"/>
      <c r="M61875"/>
    </row>
    <row r="61876" spans="3:13" ht="12.75" customHeight="1">
      <c r="C61876"/>
      <c r="M61876"/>
    </row>
    <row r="61877" spans="3:13" ht="12.75" customHeight="1">
      <c r="C61877"/>
      <c r="M61877"/>
    </row>
    <row r="61878" spans="3:13" ht="12.75" customHeight="1">
      <c r="C61878"/>
      <c r="M61878"/>
    </row>
    <row r="61879" spans="3:13" ht="12.75" customHeight="1">
      <c r="C61879"/>
      <c r="M61879"/>
    </row>
    <row r="61880" spans="3:13" ht="12.75" customHeight="1">
      <c r="C61880"/>
      <c r="M61880"/>
    </row>
    <row r="61881" spans="3:13" ht="12.75" customHeight="1">
      <c r="C61881"/>
      <c r="M61881"/>
    </row>
    <row r="61882" spans="3:13" ht="12.75" customHeight="1">
      <c r="C61882"/>
      <c r="M61882"/>
    </row>
    <row r="61883" spans="3:13" ht="12.75" customHeight="1">
      <c r="C61883"/>
      <c r="M61883"/>
    </row>
    <row r="61884" spans="3:13" ht="12.75" customHeight="1">
      <c r="C61884"/>
      <c r="M61884"/>
    </row>
    <row r="61885" spans="3:13" ht="12.75" customHeight="1">
      <c r="C61885"/>
      <c r="M61885"/>
    </row>
    <row r="61886" spans="3:13" ht="12.75" customHeight="1">
      <c r="C61886"/>
      <c r="M61886"/>
    </row>
    <row r="61887" spans="3:13" ht="12.75" customHeight="1">
      <c r="C61887"/>
      <c r="M61887"/>
    </row>
    <row r="61888" spans="3:13" ht="12.75" customHeight="1">
      <c r="C61888"/>
      <c r="M61888"/>
    </row>
    <row r="61889" spans="3:13" ht="12.75" customHeight="1">
      <c r="C61889"/>
      <c r="M61889"/>
    </row>
    <row r="61890" spans="3:13" ht="12.75" customHeight="1">
      <c r="C61890"/>
      <c r="M61890"/>
    </row>
    <row r="61891" spans="3:13" ht="12.75" customHeight="1">
      <c r="C61891"/>
      <c r="M61891"/>
    </row>
    <row r="61892" spans="3:13" ht="12.75" customHeight="1">
      <c r="C61892"/>
      <c r="M61892"/>
    </row>
    <row r="61893" spans="3:13" ht="12.75" customHeight="1">
      <c r="C61893"/>
      <c r="M61893"/>
    </row>
    <row r="61894" spans="3:13" ht="12.75" customHeight="1">
      <c r="C61894"/>
      <c r="M61894"/>
    </row>
    <row r="61895" spans="3:13" ht="12.75" customHeight="1">
      <c r="C61895"/>
      <c r="M61895"/>
    </row>
    <row r="61896" spans="3:13" ht="12.75" customHeight="1">
      <c r="C61896"/>
      <c r="M61896"/>
    </row>
    <row r="61897" spans="3:13" ht="12.75" customHeight="1">
      <c r="C61897"/>
      <c r="M61897"/>
    </row>
    <row r="61898" spans="3:13" ht="12.75" customHeight="1">
      <c r="C61898"/>
      <c r="M61898"/>
    </row>
    <row r="61899" spans="3:13" ht="12.75" customHeight="1">
      <c r="C61899"/>
      <c r="M61899"/>
    </row>
    <row r="61900" spans="3:13" ht="12.75" customHeight="1">
      <c r="C61900"/>
      <c r="M61900"/>
    </row>
    <row r="61901" spans="3:13" ht="12.75" customHeight="1">
      <c r="C61901"/>
      <c r="M61901"/>
    </row>
    <row r="61902" spans="3:13" ht="12.75" customHeight="1">
      <c r="C61902"/>
      <c r="M61902"/>
    </row>
    <row r="61903" spans="3:13" ht="12.75" customHeight="1">
      <c r="C61903"/>
      <c r="M61903"/>
    </row>
    <row r="61904" spans="3:13" ht="12.75" customHeight="1">
      <c r="C61904"/>
      <c r="M61904"/>
    </row>
    <row r="61905" spans="3:13" ht="12.75" customHeight="1">
      <c r="C61905"/>
      <c r="M61905"/>
    </row>
    <row r="61906" spans="3:13" ht="12.75" customHeight="1">
      <c r="C61906"/>
      <c r="M61906"/>
    </row>
    <row r="61907" spans="3:13" ht="12.75" customHeight="1">
      <c r="C61907"/>
      <c r="M61907"/>
    </row>
    <row r="61908" spans="3:13" ht="12.75" customHeight="1">
      <c r="C61908"/>
      <c r="M61908"/>
    </row>
    <row r="61909" spans="3:13" ht="12.75" customHeight="1">
      <c r="C61909"/>
      <c r="M61909"/>
    </row>
    <row r="61910" spans="3:13" ht="12.75" customHeight="1">
      <c r="C61910"/>
      <c r="M61910"/>
    </row>
    <row r="61911" spans="3:13" ht="12.75" customHeight="1">
      <c r="C61911"/>
      <c r="M61911"/>
    </row>
    <row r="61912" spans="3:13" ht="12.75" customHeight="1">
      <c r="C61912"/>
      <c r="M61912"/>
    </row>
    <row r="61913" spans="3:13" ht="12.75" customHeight="1">
      <c r="C61913"/>
      <c r="M61913"/>
    </row>
    <row r="61914" spans="3:13" ht="12.75" customHeight="1">
      <c r="C61914"/>
      <c r="M61914"/>
    </row>
    <row r="61915" spans="3:13" ht="12.75" customHeight="1">
      <c r="C61915"/>
      <c r="M61915"/>
    </row>
    <row r="61916" spans="3:13" ht="12.75" customHeight="1">
      <c r="C61916"/>
      <c r="M61916"/>
    </row>
    <row r="61917" spans="3:13" ht="12.75" customHeight="1">
      <c r="C61917"/>
      <c r="M61917"/>
    </row>
    <row r="61918" spans="3:13" ht="12.75" customHeight="1">
      <c r="C61918"/>
      <c r="M61918"/>
    </row>
    <row r="61919" spans="3:13" ht="12.75" customHeight="1">
      <c r="C61919"/>
      <c r="M61919"/>
    </row>
    <row r="61920" spans="3:13" ht="12.75" customHeight="1">
      <c r="C61920"/>
      <c r="M61920"/>
    </row>
    <row r="61921" spans="3:13" ht="12.75" customHeight="1">
      <c r="C61921"/>
      <c r="M61921"/>
    </row>
    <row r="61922" spans="3:13" ht="12.75" customHeight="1">
      <c r="C61922"/>
      <c r="M61922"/>
    </row>
    <row r="61923" spans="3:13" ht="12.75" customHeight="1">
      <c r="C61923"/>
      <c r="M61923"/>
    </row>
    <row r="61924" spans="3:13" ht="12.75" customHeight="1">
      <c r="C61924"/>
      <c r="M61924"/>
    </row>
    <row r="61925" spans="3:13" ht="12.75" customHeight="1">
      <c r="C61925"/>
      <c r="M61925"/>
    </row>
    <row r="61926" spans="3:13" ht="12.75" customHeight="1">
      <c r="C61926"/>
      <c r="M61926"/>
    </row>
    <row r="61927" spans="3:13" ht="12.75" customHeight="1">
      <c r="C61927"/>
      <c r="M61927"/>
    </row>
    <row r="61928" spans="3:13" ht="12.75" customHeight="1">
      <c r="C61928"/>
      <c r="M61928"/>
    </row>
    <row r="61929" spans="3:13" ht="12.75" customHeight="1">
      <c r="C61929"/>
      <c r="M61929"/>
    </row>
    <row r="61930" spans="3:13" ht="12.75" customHeight="1">
      <c r="C61930"/>
      <c r="M61930"/>
    </row>
    <row r="61931" spans="3:13" ht="12.75" customHeight="1">
      <c r="C61931"/>
      <c r="M61931"/>
    </row>
    <row r="61932" spans="3:13" ht="12.75" customHeight="1">
      <c r="C61932"/>
      <c r="M61932"/>
    </row>
    <row r="61933" spans="3:13" ht="12.75" customHeight="1">
      <c r="C61933"/>
      <c r="M61933"/>
    </row>
    <row r="61934" spans="3:13" ht="12.75" customHeight="1">
      <c r="C61934"/>
      <c r="M61934"/>
    </row>
    <row r="61935" spans="3:13" ht="12.75" customHeight="1">
      <c r="C61935"/>
      <c r="M61935"/>
    </row>
    <row r="61936" spans="3:13" ht="12.75" customHeight="1">
      <c r="C61936"/>
      <c r="M61936"/>
    </row>
    <row r="61937" spans="3:13" ht="12.75" customHeight="1">
      <c r="C61937"/>
      <c r="M61937"/>
    </row>
    <row r="61938" spans="3:13" ht="12.75" customHeight="1">
      <c r="C61938"/>
      <c r="M61938"/>
    </row>
    <row r="61939" spans="3:13" ht="12.75" customHeight="1">
      <c r="C61939"/>
      <c r="M61939"/>
    </row>
    <row r="61940" spans="3:13" ht="12.75" customHeight="1">
      <c r="C61940"/>
      <c r="M61940"/>
    </row>
    <row r="61941" spans="3:13" ht="12.75" customHeight="1">
      <c r="C61941"/>
      <c r="M61941"/>
    </row>
    <row r="61942" spans="3:13" ht="12.75" customHeight="1">
      <c r="C61942"/>
      <c r="M61942"/>
    </row>
    <row r="61943" spans="3:13" ht="12.75" customHeight="1">
      <c r="C61943"/>
      <c r="M61943"/>
    </row>
    <row r="61944" spans="3:13" ht="12.75" customHeight="1">
      <c r="C61944"/>
      <c r="M61944"/>
    </row>
    <row r="61945" spans="3:13" ht="12.75" customHeight="1">
      <c r="C61945"/>
      <c r="M61945"/>
    </row>
    <row r="61946" spans="3:13" ht="12.75" customHeight="1">
      <c r="C61946"/>
      <c r="M61946"/>
    </row>
    <row r="61947" spans="3:13" ht="12.75" customHeight="1">
      <c r="C61947"/>
      <c r="M61947"/>
    </row>
    <row r="61948" spans="3:13" ht="12.75" customHeight="1">
      <c r="C61948"/>
      <c r="M61948"/>
    </row>
    <row r="61949" spans="3:13" ht="12.75" customHeight="1">
      <c r="C61949"/>
      <c r="M61949"/>
    </row>
    <row r="61950" spans="3:13" ht="12.75" customHeight="1">
      <c r="C61950"/>
      <c r="M61950"/>
    </row>
    <row r="61951" spans="3:13" ht="12.75" customHeight="1">
      <c r="C61951"/>
      <c r="M61951"/>
    </row>
    <row r="61952" spans="3:13" ht="12.75" customHeight="1">
      <c r="C61952"/>
      <c r="M61952"/>
    </row>
    <row r="61953" spans="3:13" ht="12.75" customHeight="1">
      <c r="C61953"/>
      <c r="M61953"/>
    </row>
    <row r="61954" spans="3:13" ht="12.75" customHeight="1">
      <c r="C61954"/>
      <c r="M61954"/>
    </row>
    <row r="61955" spans="3:13" ht="12.75" customHeight="1">
      <c r="C61955"/>
      <c r="M61955"/>
    </row>
    <row r="61956" spans="3:13" ht="12.75" customHeight="1">
      <c r="C61956"/>
      <c r="M61956"/>
    </row>
    <row r="61957" spans="3:13" ht="12.75" customHeight="1">
      <c r="C61957"/>
      <c r="M61957"/>
    </row>
    <row r="61958" spans="3:13" ht="12.75" customHeight="1">
      <c r="C61958"/>
      <c r="M61958"/>
    </row>
    <row r="61959" spans="3:13" ht="12.75" customHeight="1">
      <c r="C61959"/>
      <c r="M61959"/>
    </row>
    <row r="61960" spans="3:13" ht="12.75" customHeight="1">
      <c r="C61960"/>
      <c r="M61960"/>
    </row>
    <row r="61961" spans="3:13" ht="12.75" customHeight="1">
      <c r="C61961"/>
      <c r="M61961"/>
    </row>
    <row r="61962" spans="3:13" ht="12.75" customHeight="1">
      <c r="C61962"/>
      <c r="M61962"/>
    </row>
    <row r="61963" spans="3:13" ht="12.75" customHeight="1">
      <c r="C61963"/>
      <c r="M61963"/>
    </row>
    <row r="61964" spans="3:13" ht="12.75" customHeight="1">
      <c r="C61964"/>
      <c r="M61964"/>
    </row>
    <row r="61965" spans="3:13" ht="12.75" customHeight="1">
      <c r="C61965"/>
      <c r="M61965"/>
    </row>
    <row r="61966" spans="3:13" ht="12.75" customHeight="1">
      <c r="C61966"/>
      <c r="M61966"/>
    </row>
    <row r="61967" spans="3:13" ht="12.75" customHeight="1">
      <c r="C61967"/>
      <c r="M61967"/>
    </row>
    <row r="61968" spans="3:13" ht="12.75" customHeight="1">
      <c r="C61968"/>
      <c r="M61968"/>
    </row>
    <row r="61969" spans="3:13" ht="12.75" customHeight="1">
      <c r="C61969"/>
      <c r="M61969"/>
    </row>
    <row r="61970" spans="3:13" ht="12.75" customHeight="1">
      <c r="C61970"/>
      <c r="M61970"/>
    </row>
    <row r="61971" spans="3:13" ht="12.75" customHeight="1">
      <c r="C61971"/>
      <c r="M61971"/>
    </row>
    <row r="61972" spans="3:13" ht="12.75" customHeight="1">
      <c r="C61972"/>
      <c r="M61972"/>
    </row>
    <row r="61973" spans="3:13" ht="12.75" customHeight="1">
      <c r="C61973"/>
      <c r="M61973"/>
    </row>
    <row r="61974" spans="3:13" ht="12.75" customHeight="1">
      <c r="C61974"/>
      <c r="M61974"/>
    </row>
    <row r="61975" spans="3:13" ht="12.75" customHeight="1">
      <c r="C61975"/>
      <c r="M61975"/>
    </row>
    <row r="61976" spans="3:13" ht="12.75" customHeight="1">
      <c r="C61976"/>
      <c r="M61976"/>
    </row>
    <row r="61977" spans="3:13" ht="12.75" customHeight="1">
      <c r="C61977"/>
      <c r="M61977"/>
    </row>
    <row r="61978" spans="3:13" ht="12.75" customHeight="1">
      <c r="C61978"/>
      <c r="M61978"/>
    </row>
    <row r="61979" spans="3:13" ht="12.75" customHeight="1">
      <c r="C61979"/>
      <c r="M61979"/>
    </row>
    <row r="61980" spans="3:13" ht="12.75" customHeight="1">
      <c r="C61980"/>
      <c r="M61980"/>
    </row>
    <row r="61981" spans="3:13" ht="12.75" customHeight="1">
      <c r="C61981"/>
      <c r="M61981"/>
    </row>
    <row r="61982" spans="3:13" ht="12.75" customHeight="1">
      <c r="C61982"/>
      <c r="M61982"/>
    </row>
    <row r="61983" spans="3:13" ht="12.75" customHeight="1">
      <c r="C61983"/>
      <c r="M61983"/>
    </row>
    <row r="61984" spans="3:13" ht="12.75" customHeight="1">
      <c r="C61984"/>
      <c r="M61984"/>
    </row>
    <row r="61985" spans="3:13" ht="12.75" customHeight="1">
      <c r="C61985"/>
      <c r="M61985"/>
    </row>
    <row r="61986" spans="3:13" ht="12.75" customHeight="1">
      <c r="C61986"/>
      <c r="M61986"/>
    </row>
    <row r="61987" spans="3:13" ht="12.75" customHeight="1">
      <c r="C61987"/>
      <c r="M61987"/>
    </row>
    <row r="61988" spans="3:13" ht="12.75" customHeight="1">
      <c r="C61988"/>
      <c r="M61988"/>
    </row>
    <row r="61989" spans="3:13" ht="12.75" customHeight="1">
      <c r="C61989"/>
      <c r="M61989"/>
    </row>
    <row r="61990" spans="3:13" ht="12.75" customHeight="1">
      <c r="C61990"/>
      <c r="M61990"/>
    </row>
    <row r="61991" spans="3:13" ht="12.75" customHeight="1">
      <c r="C61991"/>
      <c r="M61991"/>
    </row>
    <row r="61992" spans="3:13" ht="12.75" customHeight="1">
      <c r="C61992"/>
      <c r="M61992"/>
    </row>
    <row r="61993" spans="3:13" ht="12.75" customHeight="1">
      <c r="C61993"/>
      <c r="M61993"/>
    </row>
    <row r="61994" spans="3:13" ht="12.75" customHeight="1">
      <c r="C61994"/>
      <c r="M61994"/>
    </row>
    <row r="61995" spans="3:13" ht="12.75" customHeight="1">
      <c r="C61995"/>
      <c r="M61995"/>
    </row>
    <row r="61996" spans="3:13" ht="12.75" customHeight="1">
      <c r="C61996"/>
      <c r="M61996"/>
    </row>
    <row r="61997" spans="3:13" ht="12.75" customHeight="1">
      <c r="C61997"/>
      <c r="M61997"/>
    </row>
    <row r="61998" spans="3:13" ht="12.75" customHeight="1">
      <c r="C61998"/>
      <c r="M61998"/>
    </row>
    <row r="61999" spans="3:13" ht="12.75" customHeight="1">
      <c r="C61999"/>
      <c r="M61999"/>
    </row>
    <row r="62000" spans="3:13" ht="12.75" customHeight="1">
      <c r="C62000"/>
      <c r="M62000"/>
    </row>
    <row r="62001" spans="3:13" ht="12.75" customHeight="1">
      <c r="C62001"/>
      <c r="M62001"/>
    </row>
    <row r="62002" spans="3:13" ht="12.75" customHeight="1">
      <c r="C62002"/>
      <c r="M62002"/>
    </row>
    <row r="62003" spans="3:13" ht="12.75" customHeight="1">
      <c r="C62003"/>
      <c r="M62003"/>
    </row>
    <row r="62004" spans="3:13" ht="12.75" customHeight="1">
      <c r="C62004"/>
      <c r="M62004"/>
    </row>
    <row r="62005" spans="3:13" ht="12.75" customHeight="1">
      <c r="C62005"/>
      <c r="M62005"/>
    </row>
    <row r="62006" spans="3:13" ht="12.75" customHeight="1">
      <c r="C62006"/>
      <c r="M62006"/>
    </row>
    <row r="62007" spans="3:13" ht="12.75" customHeight="1">
      <c r="C62007"/>
      <c r="M62007"/>
    </row>
    <row r="62008" spans="3:13" ht="12.75" customHeight="1">
      <c r="C62008"/>
      <c r="M62008"/>
    </row>
    <row r="62009" spans="3:13" ht="12.75" customHeight="1">
      <c r="C62009"/>
      <c r="M62009"/>
    </row>
    <row r="62010" spans="3:13" ht="12.75" customHeight="1">
      <c r="C62010"/>
      <c r="M62010"/>
    </row>
    <row r="62011" spans="3:13" ht="12.75" customHeight="1">
      <c r="C62011"/>
      <c r="M62011"/>
    </row>
    <row r="62012" spans="3:13" ht="12.75" customHeight="1">
      <c r="C62012"/>
      <c r="M62012"/>
    </row>
    <row r="62013" spans="3:13" ht="12.75" customHeight="1">
      <c r="C62013"/>
      <c r="M62013"/>
    </row>
    <row r="62014" spans="3:13" ht="12.75" customHeight="1">
      <c r="C62014"/>
      <c r="M62014"/>
    </row>
    <row r="62015" spans="3:13" ht="12.75" customHeight="1">
      <c r="C62015"/>
      <c r="M62015"/>
    </row>
    <row r="62016" spans="3:13" ht="12.75" customHeight="1">
      <c r="C62016"/>
      <c r="M62016"/>
    </row>
    <row r="62017" spans="3:13" ht="12.75" customHeight="1">
      <c r="C62017"/>
      <c r="M62017"/>
    </row>
    <row r="62018" spans="3:13" ht="12.75" customHeight="1">
      <c r="C62018"/>
      <c r="M62018"/>
    </row>
    <row r="62019" spans="3:13" ht="12.75" customHeight="1">
      <c r="C62019"/>
      <c r="M62019"/>
    </row>
    <row r="62020" spans="3:13" ht="12.75" customHeight="1">
      <c r="C62020"/>
      <c r="M62020"/>
    </row>
    <row r="62021" spans="3:13" ht="12.75" customHeight="1">
      <c r="C62021"/>
      <c r="M62021"/>
    </row>
    <row r="62022" spans="3:13" ht="12.75" customHeight="1">
      <c r="C62022"/>
      <c r="M62022"/>
    </row>
    <row r="62023" spans="3:13" ht="12.75" customHeight="1">
      <c r="C62023"/>
      <c r="M62023"/>
    </row>
    <row r="62024" spans="3:13" ht="12.75" customHeight="1">
      <c r="C62024"/>
      <c r="M62024"/>
    </row>
    <row r="62025" spans="3:13" ht="12.75" customHeight="1">
      <c r="C62025"/>
      <c r="M62025"/>
    </row>
    <row r="62026" spans="3:13" ht="12.75" customHeight="1">
      <c r="C62026"/>
      <c r="M62026"/>
    </row>
    <row r="62027" spans="3:13" ht="12.75" customHeight="1">
      <c r="C62027"/>
      <c r="M62027"/>
    </row>
    <row r="62028" spans="3:13" ht="12.75" customHeight="1">
      <c r="C62028"/>
      <c r="M62028"/>
    </row>
    <row r="62029" spans="3:13" ht="12.75" customHeight="1">
      <c r="C62029"/>
      <c r="M62029"/>
    </row>
    <row r="62030" spans="3:13" ht="12.75" customHeight="1">
      <c r="C62030"/>
      <c r="M62030"/>
    </row>
    <row r="62031" spans="3:13" ht="12.75" customHeight="1">
      <c r="C62031"/>
      <c r="M62031"/>
    </row>
    <row r="62032" spans="3:13" ht="12.75" customHeight="1">
      <c r="C62032"/>
      <c r="M62032"/>
    </row>
    <row r="62033" spans="3:13" ht="12.75" customHeight="1">
      <c r="C62033"/>
      <c r="M62033"/>
    </row>
    <row r="62034" spans="3:13" ht="12.75" customHeight="1">
      <c r="C62034"/>
      <c r="M62034"/>
    </row>
    <row r="62035" spans="3:13" ht="12.75" customHeight="1">
      <c r="C62035"/>
      <c r="M62035"/>
    </row>
    <row r="62036" spans="3:13" ht="12.75" customHeight="1">
      <c r="C62036"/>
      <c r="M62036"/>
    </row>
    <row r="62037" spans="3:13" ht="12.75" customHeight="1">
      <c r="C62037"/>
      <c r="M62037"/>
    </row>
    <row r="62038" spans="3:13" ht="12.75" customHeight="1">
      <c r="C62038"/>
      <c r="M62038"/>
    </row>
    <row r="62039" spans="3:13" ht="12.75" customHeight="1">
      <c r="C62039"/>
      <c r="M62039"/>
    </row>
    <row r="62040" spans="3:13" ht="12.75" customHeight="1">
      <c r="C62040"/>
      <c r="M62040"/>
    </row>
    <row r="62041" spans="3:13" ht="12.75" customHeight="1">
      <c r="C62041"/>
      <c r="M62041"/>
    </row>
    <row r="62042" spans="3:13" ht="12.75" customHeight="1">
      <c r="C62042"/>
      <c r="M62042"/>
    </row>
    <row r="62043" spans="3:13" ht="12.75" customHeight="1">
      <c r="C62043"/>
      <c r="M62043"/>
    </row>
    <row r="62044" spans="3:13" ht="12.75" customHeight="1">
      <c r="C62044"/>
      <c r="M62044"/>
    </row>
    <row r="62045" spans="3:13" ht="12.75" customHeight="1">
      <c r="C62045"/>
      <c r="M62045"/>
    </row>
    <row r="62046" spans="3:13" ht="12.75" customHeight="1">
      <c r="C62046"/>
      <c r="M62046"/>
    </row>
    <row r="62047" spans="3:13" ht="12.75" customHeight="1">
      <c r="C62047"/>
      <c r="M62047"/>
    </row>
    <row r="62048" spans="3:13" ht="12.75" customHeight="1">
      <c r="C62048"/>
      <c r="M62048"/>
    </row>
    <row r="62049" spans="3:13" ht="12.75" customHeight="1">
      <c r="C62049"/>
      <c r="M62049"/>
    </row>
    <row r="62050" spans="3:13" ht="12.75" customHeight="1">
      <c r="C62050"/>
      <c r="M62050"/>
    </row>
    <row r="62051" spans="3:13" ht="12.75" customHeight="1">
      <c r="C62051"/>
      <c r="M62051"/>
    </row>
    <row r="62052" spans="3:13" ht="12.75" customHeight="1">
      <c r="C62052"/>
      <c r="M62052"/>
    </row>
    <row r="62053" spans="3:13" ht="12.75" customHeight="1">
      <c r="C62053"/>
      <c r="M62053"/>
    </row>
    <row r="62054" spans="3:13" ht="12.75" customHeight="1">
      <c r="C62054"/>
      <c r="M62054"/>
    </row>
    <row r="62055" spans="3:13" ht="12.75" customHeight="1">
      <c r="C62055"/>
      <c r="M62055"/>
    </row>
    <row r="62056" spans="3:13" ht="12.75" customHeight="1">
      <c r="C62056"/>
      <c r="M62056"/>
    </row>
    <row r="62057" spans="3:13" ht="12.75" customHeight="1">
      <c r="C62057"/>
      <c r="M62057"/>
    </row>
    <row r="62058" spans="3:13" ht="12.75" customHeight="1">
      <c r="C62058"/>
      <c r="M62058"/>
    </row>
    <row r="62059" spans="3:13" ht="12.75" customHeight="1">
      <c r="C62059"/>
      <c r="M62059"/>
    </row>
    <row r="62060" spans="3:13" ht="12.75" customHeight="1">
      <c r="C62060"/>
      <c r="M62060"/>
    </row>
    <row r="62061" spans="3:13" ht="12.75" customHeight="1">
      <c r="C62061"/>
      <c r="M62061"/>
    </row>
    <row r="62062" spans="3:13" ht="12.75" customHeight="1">
      <c r="C62062"/>
      <c r="M62062"/>
    </row>
    <row r="62063" spans="3:13" ht="12.75" customHeight="1">
      <c r="C62063"/>
      <c r="M62063"/>
    </row>
    <row r="62064" spans="3:13" ht="12.75" customHeight="1">
      <c r="C62064"/>
      <c r="M62064"/>
    </row>
    <row r="62065" spans="3:13" ht="12.75" customHeight="1">
      <c r="C62065"/>
      <c r="M62065"/>
    </row>
    <row r="62066" spans="3:13" ht="12.75" customHeight="1">
      <c r="C62066"/>
      <c r="M62066"/>
    </row>
    <row r="62067" spans="3:13" ht="12.75" customHeight="1">
      <c r="C62067"/>
      <c r="M62067"/>
    </row>
    <row r="62068" spans="3:13" ht="12.75" customHeight="1">
      <c r="C62068"/>
      <c r="M62068"/>
    </row>
    <row r="62069" spans="3:13" ht="12.75" customHeight="1">
      <c r="C62069"/>
      <c r="M62069"/>
    </row>
    <row r="62070" spans="3:13" ht="12.75" customHeight="1">
      <c r="C62070"/>
      <c r="M62070"/>
    </row>
    <row r="62071" spans="3:13" ht="12.75" customHeight="1">
      <c r="C62071"/>
      <c r="M62071"/>
    </row>
    <row r="62072" spans="3:13" ht="12.75" customHeight="1">
      <c r="C62072"/>
      <c r="M62072"/>
    </row>
    <row r="62073" spans="3:13" ht="12.75" customHeight="1">
      <c r="C62073"/>
      <c r="M62073"/>
    </row>
    <row r="62074" spans="3:13" ht="12.75" customHeight="1">
      <c r="C62074"/>
      <c r="M62074"/>
    </row>
    <row r="62075" spans="3:13" ht="12.75" customHeight="1">
      <c r="C62075"/>
      <c r="M62075"/>
    </row>
    <row r="62076" spans="3:13" ht="12.75" customHeight="1">
      <c r="C62076"/>
      <c r="M62076"/>
    </row>
    <row r="62077" spans="3:13" ht="12.75" customHeight="1">
      <c r="C62077"/>
      <c r="M62077"/>
    </row>
    <row r="62078" spans="3:13" ht="12.75" customHeight="1">
      <c r="C62078"/>
      <c r="M62078"/>
    </row>
    <row r="62079" spans="3:13" ht="12.75" customHeight="1">
      <c r="C62079"/>
      <c r="M62079"/>
    </row>
    <row r="62080" spans="3:13" ht="12.75" customHeight="1">
      <c r="C62080"/>
      <c r="M62080"/>
    </row>
    <row r="62081" spans="3:13" ht="12.75" customHeight="1">
      <c r="C62081"/>
      <c r="M62081"/>
    </row>
    <row r="62082" spans="3:13" ht="12.75" customHeight="1">
      <c r="C62082"/>
      <c r="M62082"/>
    </row>
    <row r="62083" spans="3:13" ht="12.75" customHeight="1">
      <c r="C62083"/>
      <c r="M62083"/>
    </row>
    <row r="62084" spans="3:13" ht="12.75" customHeight="1">
      <c r="C62084"/>
      <c r="M62084"/>
    </row>
    <row r="62085" spans="3:13" ht="12.75" customHeight="1">
      <c r="C62085"/>
      <c r="M62085"/>
    </row>
    <row r="62086" spans="3:13" ht="12.75" customHeight="1">
      <c r="C62086"/>
      <c r="M62086"/>
    </row>
    <row r="62087" spans="3:13" ht="12.75" customHeight="1">
      <c r="C62087"/>
      <c r="M62087"/>
    </row>
    <row r="62088" spans="3:13" ht="12.75" customHeight="1">
      <c r="C62088"/>
      <c r="M62088"/>
    </row>
    <row r="62089" spans="3:13" ht="12.75" customHeight="1">
      <c r="C62089"/>
      <c r="M62089"/>
    </row>
    <row r="62090" spans="3:13" ht="12.75" customHeight="1">
      <c r="C62090"/>
      <c r="M62090"/>
    </row>
    <row r="62091" spans="3:13" ht="12.75" customHeight="1">
      <c r="C62091"/>
      <c r="M62091"/>
    </row>
    <row r="62092" spans="3:13" ht="12.75" customHeight="1">
      <c r="C62092"/>
      <c r="M62092"/>
    </row>
    <row r="62093" spans="3:13" ht="12.75" customHeight="1">
      <c r="C62093"/>
      <c r="M62093"/>
    </row>
    <row r="62094" spans="3:13" ht="12.75" customHeight="1">
      <c r="C62094"/>
      <c r="M62094"/>
    </row>
    <row r="62095" spans="3:13" ht="12.75" customHeight="1">
      <c r="C62095"/>
      <c r="M62095"/>
    </row>
    <row r="62096" spans="3:13" ht="12.75" customHeight="1">
      <c r="C62096"/>
      <c r="M62096"/>
    </row>
    <row r="62097" spans="3:13" ht="12.75" customHeight="1">
      <c r="C62097"/>
      <c r="M62097"/>
    </row>
    <row r="62098" spans="3:13" ht="12.75" customHeight="1">
      <c r="C62098"/>
      <c r="M62098"/>
    </row>
    <row r="62099" spans="3:13" ht="12.75" customHeight="1">
      <c r="C62099"/>
      <c r="M62099"/>
    </row>
    <row r="62100" spans="3:13" ht="12.75" customHeight="1">
      <c r="C62100"/>
      <c r="M62100"/>
    </row>
    <row r="62101" spans="3:13" ht="12.75" customHeight="1">
      <c r="C62101"/>
      <c r="M62101"/>
    </row>
    <row r="62102" spans="3:13" ht="12.75" customHeight="1">
      <c r="C62102"/>
      <c r="M62102"/>
    </row>
    <row r="62103" spans="3:13" ht="12.75" customHeight="1">
      <c r="C62103"/>
      <c r="M62103"/>
    </row>
    <row r="62104" spans="3:13" ht="12.75" customHeight="1">
      <c r="C62104"/>
      <c r="M62104"/>
    </row>
    <row r="62105" spans="3:13" ht="12.75" customHeight="1">
      <c r="C62105"/>
      <c r="M62105"/>
    </row>
    <row r="62106" spans="3:13" ht="12.75" customHeight="1">
      <c r="C62106"/>
      <c r="M62106"/>
    </row>
    <row r="62107" spans="3:13" ht="12.75" customHeight="1">
      <c r="C62107"/>
      <c r="M62107"/>
    </row>
    <row r="62108" spans="3:13" ht="12.75" customHeight="1">
      <c r="C62108"/>
      <c r="M62108"/>
    </row>
    <row r="62109" spans="3:13" ht="12.75" customHeight="1">
      <c r="C62109"/>
      <c r="M62109"/>
    </row>
    <row r="62110" spans="3:13" ht="12.75" customHeight="1">
      <c r="C62110"/>
      <c r="M62110"/>
    </row>
    <row r="62111" spans="3:13" ht="12.75" customHeight="1">
      <c r="C62111"/>
      <c r="M62111"/>
    </row>
    <row r="62112" spans="3:13" ht="12.75" customHeight="1">
      <c r="C62112"/>
      <c r="M62112"/>
    </row>
    <row r="62113" spans="3:13" ht="12.75" customHeight="1">
      <c r="C62113"/>
      <c r="M62113"/>
    </row>
    <row r="62114" spans="3:13" ht="12.75" customHeight="1">
      <c r="C62114"/>
      <c r="M62114"/>
    </row>
    <row r="62115" spans="3:13" ht="12.75" customHeight="1">
      <c r="C62115"/>
      <c r="M62115"/>
    </row>
    <row r="62116" spans="3:13" ht="12.75" customHeight="1">
      <c r="C62116"/>
      <c r="M62116"/>
    </row>
    <row r="62117" spans="3:13" ht="12.75" customHeight="1">
      <c r="C62117"/>
      <c r="M62117"/>
    </row>
    <row r="62118" spans="3:13" ht="12.75" customHeight="1">
      <c r="C62118"/>
      <c r="M62118"/>
    </row>
    <row r="62119" spans="3:13" ht="12.75" customHeight="1">
      <c r="C62119"/>
      <c r="M62119"/>
    </row>
    <row r="62120" spans="3:13" ht="12.75" customHeight="1">
      <c r="C62120"/>
      <c r="M62120"/>
    </row>
    <row r="62121" spans="3:13" ht="12.75" customHeight="1">
      <c r="C62121"/>
      <c r="M62121"/>
    </row>
    <row r="62122" spans="3:13" ht="12.75" customHeight="1">
      <c r="C62122"/>
      <c r="M62122"/>
    </row>
    <row r="62123" spans="3:13" ht="12.75" customHeight="1">
      <c r="C62123"/>
      <c r="M62123"/>
    </row>
    <row r="62124" spans="3:13" ht="12.75" customHeight="1">
      <c r="C62124"/>
      <c r="M62124"/>
    </row>
    <row r="62125" spans="3:13" ht="12.75" customHeight="1">
      <c r="C62125"/>
      <c r="M62125"/>
    </row>
    <row r="62126" spans="3:13" ht="12.75" customHeight="1">
      <c r="C62126"/>
      <c r="M62126"/>
    </row>
    <row r="62127" spans="3:13" ht="12.75" customHeight="1">
      <c r="C62127"/>
      <c r="M62127"/>
    </row>
    <row r="62128" spans="3:13" ht="12.75" customHeight="1">
      <c r="C62128"/>
      <c r="M62128"/>
    </row>
    <row r="62129" spans="3:13" ht="12.75" customHeight="1">
      <c r="C62129"/>
      <c r="M62129"/>
    </row>
    <row r="62130" spans="3:13" ht="12.75" customHeight="1">
      <c r="C62130"/>
      <c r="M62130"/>
    </row>
    <row r="62131" spans="3:13" ht="12.75" customHeight="1">
      <c r="C62131"/>
      <c r="M62131"/>
    </row>
    <row r="62132" spans="3:13" ht="12.75" customHeight="1">
      <c r="C62132"/>
      <c r="M62132"/>
    </row>
    <row r="62133" spans="3:13" ht="12.75" customHeight="1">
      <c r="C62133"/>
      <c r="M62133"/>
    </row>
    <row r="62134" spans="3:13" ht="12.75" customHeight="1">
      <c r="C62134"/>
      <c r="M62134"/>
    </row>
    <row r="62135" spans="3:13" ht="12.75" customHeight="1">
      <c r="C62135"/>
      <c r="M62135"/>
    </row>
    <row r="62136" spans="3:13" ht="12.75" customHeight="1">
      <c r="C62136"/>
      <c r="M62136"/>
    </row>
    <row r="62137" spans="3:13" ht="12.75" customHeight="1">
      <c r="C62137"/>
      <c r="M62137"/>
    </row>
    <row r="62138" spans="3:13" ht="12.75" customHeight="1">
      <c r="C62138"/>
      <c r="M62138"/>
    </row>
    <row r="62139" spans="3:13" ht="12.75" customHeight="1">
      <c r="C62139"/>
      <c r="M62139"/>
    </row>
    <row r="62140" spans="3:13" ht="12.75" customHeight="1">
      <c r="C62140"/>
      <c r="M62140"/>
    </row>
    <row r="62141" spans="3:13" ht="12.75" customHeight="1">
      <c r="C62141"/>
      <c r="M62141"/>
    </row>
    <row r="62142" spans="3:13" ht="12.75" customHeight="1">
      <c r="C62142"/>
      <c r="M62142"/>
    </row>
    <row r="62143" spans="3:13" ht="12.75" customHeight="1">
      <c r="C62143"/>
      <c r="M62143"/>
    </row>
    <row r="62144" spans="3:13" ht="12.75" customHeight="1">
      <c r="C62144"/>
      <c r="M62144"/>
    </row>
    <row r="62145" spans="3:13" ht="12.75" customHeight="1">
      <c r="C62145"/>
      <c r="M62145"/>
    </row>
    <row r="62146" spans="3:13" ht="12.75" customHeight="1">
      <c r="C62146"/>
      <c r="M62146"/>
    </row>
    <row r="62147" spans="3:13" ht="12.75" customHeight="1">
      <c r="C62147"/>
      <c r="M62147"/>
    </row>
    <row r="62148" spans="3:13" ht="12.75" customHeight="1">
      <c r="C62148"/>
      <c r="M62148"/>
    </row>
    <row r="62149" spans="3:13" ht="12.75" customHeight="1">
      <c r="C62149"/>
      <c r="M62149"/>
    </row>
    <row r="62150" spans="3:13" ht="12.75" customHeight="1">
      <c r="C62150"/>
      <c r="M62150"/>
    </row>
    <row r="62151" spans="3:13" ht="12.75" customHeight="1">
      <c r="C62151"/>
      <c r="M62151"/>
    </row>
    <row r="62152" spans="3:13" ht="12.75" customHeight="1">
      <c r="C62152"/>
      <c r="M62152"/>
    </row>
    <row r="62153" spans="3:13" ht="12.75" customHeight="1">
      <c r="C62153"/>
      <c r="M62153"/>
    </row>
    <row r="62154" spans="3:13" ht="12.75" customHeight="1">
      <c r="C62154"/>
      <c r="M62154"/>
    </row>
    <row r="62155" spans="3:13" ht="12.75" customHeight="1">
      <c r="C62155"/>
      <c r="M62155"/>
    </row>
    <row r="62156" spans="3:13" ht="12.75" customHeight="1">
      <c r="C62156"/>
      <c r="M62156"/>
    </row>
    <row r="62157" spans="3:13" ht="12.75" customHeight="1">
      <c r="C62157"/>
      <c r="M62157"/>
    </row>
    <row r="62158" spans="3:13" ht="12.75" customHeight="1">
      <c r="C62158"/>
      <c r="M62158"/>
    </row>
    <row r="62159" spans="3:13" ht="12.75" customHeight="1">
      <c r="C62159"/>
      <c r="M62159"/>
    </row>
    <row r="62160" spans="3:13" ht="12.75" customHeight="1">
      <c r="C62160"/>
      <c r="M62160"/>
    </row>
    <row r="62161" spans="3:13" ht="12.75" customHeight="1">
      <c r="C62161"/>
      <c r="M62161"/>
    </row>
    <row r="62162" spans="3:13" ht="12.75" customHeight="1">
      <c r="C62162"/>
      <c r="M62162"/>
    </row>
    <row r="62163" spans="3:13" ht="12.75" customHeight="1">
      <c r="C62163"/>
      <c r="M62163"/>
    </row>
    <row r="62164" spans="3:13" ht="12.75" customHeight="1">
      <c r="C62164"/>
      <c r="M62164"/>
    </row>
    <row r="62165" spans="3:13" ht="12.75" customHeight="1">
      <c r="C62165"/>
      <c r="M62165"/>
    </row>
    <row r="62166" spans="3:13" ht="12.75" customHeight="1">
      <c r="C62166"/>
      <c r="M62166"/>
    </row>
    <row r="62167" spans="3:13" ht="12.75" customHeight="1">
      <c r="C62167"/>
      <c r="M62167"/>
    </row>
    <row r="62168" spans="3:13" ht="12.75" customHeight="1">
      <c r="C62168"/>
      <c r="M62168"/>
    </row>
    <row r="62169" spans="3:13" ht="12.75" customHeight="1">
      <c r="C62169"/>
      <c r="M62169"/>
    </row>
    <row r="62170" spans="3:13" ht="12.75" customHeight="1">
      <c r="C62170"/>
      <c r="M62170"/>
    </row>
    <row r="62171" spans="3:13" ht="12.75" customHeight="1">
      <c r="C62171"/>
      <c r="M62171"/>
    </row>
    <row r="62172" spans="3:13" ht="12.75" customHeight="1">
      <c r="C62172"/>
      <c r="M62172"/>
    </row>
    <row r="62173" spans="3:13" ht="12.75" customHeight="1">
      <c r="C62173"/>
      <c r="M62173"/>
    </row>
    <row r="62174" spans="3:13" ht="12.75" customHeight="1">
      <c r="C62174"/>
      <c r="M62174"/>
    </row>
    <row r="62175" spans="3:13" ht="12.75" customHeight="1">
      <c r="C62175"/>
      <c r="M62175"/>
    </row>
    <row r="62176" spans="3:13" ht="12.75" customHeight="1">
      <c r="C62176"/>
      <c r="M62176"/>
    </row>
    <row r="62177" spans="3:13" ht="12.75" customHeight="1">
      <c r="C62177"/>
      <c r="M62177"/>
    </row>
    <row r="62178" spans="3:13" ht="12.75" customHeight="1">
      <c r="C62178"/>
      <c r="M62178"/>
    </row>
    <row r="62179" spans="3:13" ht="12.75" customHeight="1">
      <c r="C62179"/>
      <c r="M62179"/>
    </row>
    <row r="62180" spans="3:13" ht="12.75" customHeight="1">
      <c r="C62180"/>
      <c r="M62180"/>
    </row>
    <row r="62181" spans="3:13" ht="12.75" customHeight="1">
      <c r="C62181"/>
      <c r="M62181"/>
    </row>
    <row r="62182" spans="3:13" ht="12.75" customHeight="1">
      <c r="C62182"/>
      <c r="M62182"/>
    </row>
    <row r="62183" spans="3:13" ht="12.75" customHeight="1">
      <c r="C62183"/>
      <c r="M62183"/>
    </row>
    <row r="62184" spans="3:13" ht="12.75" customHeight="1">
      <c r="C62184"/>
      <c r="M62184"/>
    </row>
    <row r="62185" spans="3:13" ht="12.75" customHeight="1">
      <c r="C62185"/>
      <c r="M62185"/>
    </row>
    <row r="62186" spans="3:13" ht="12.75" customHeight="1">
      <c r="C62186"/>
      <c r="M62186"/>
    </row>
    <row r="62187" spans="3:13" ht="12.75" customHeight="1">
      <c r="C62187"/>
      <c r="M62187"/>
    </row>
    <row r="62188" spans="3:13" ht="12.75" customHeight="1">
      <c r="C62188"/>
      <c r="M62188"/>
    </row>
    <row r="62189" spans="3:13" ht="12.75" customHeight="1">
      <c r="C62189"/>
      <c r="M62189"/>
    </row>
    <row r="62190" spans="3:13" ht="12.75" customHeight="1">
      <c r="C62190"/>
      <c r="M62190"/>
    </row>
    <row r="62191" spans="3:13" ht="12.75" customHeight="1">
      <c r="C62191"/>
      <c r="M62191"/>
    </row>
    <row r="62192" spans="3:13" ht="12.75" customHeight="1">
      <c r="C62192"/>
      <c r="M62192"/>
    </row>
    <row r="62193" spans="3:13" ht="12.75" customHeight="1">
      <c r="C62193"/>
      <c r="M62193"/>
    </row>
    <row r="62194" spans="3:13" ht="12.75" customHeight="1">
      <c r="C62194"/>
      <c r="M62194"/>
    </row>
    <row r="62195" spans="3:13" ht="12.75" customHeight="1">
      <c r="C62195"/>
      <c r="M62195"/>
    </row>
    <row r="62196" spans="3:13" ht="12.75" customHeight="1">
      <c r="C62196"/>
      <c r="M62196"/>
    </row>
    <row r="62197" spans="3:13" ht="12.75" customHeight="1">
      <c r="C62197"/>
      <c r="M62197"/>
    </row>
    <row r="62198" spans="3:13" ht="12.75" customHeight="1">
      <c r="C62198"/>
      <c r="M62198"/>
    </row>
    <row r="62199" spans="3:13" ht="12.75" customHeight="1">
      <c r="C62199"/>
      <c r="M62199"/>
    </row>
    <row r="62200" spans="3:13" ht="12.75" customHeight="1">
      <c r="C62200"/>
      <c r="M62200"/>
    </row>
    <row r="62201" spans="3:13" ht="12.75" customHeight="1">
      <c r="C62201"/>
      <c r="M62201"/>
    </row>
    <row r="62202" spans="3:13" ht="12.75" customHeight="1">
      <c r="C62202"/>
      <c r="M62202"/>
    </row>
    <row r="62203" spans="3:13" ht="12.75" customHeight="1">
      <c r="C62203"/>
      <c r="M62203"/>
    </row>
    <row r="62204" spans="3:13" ht="12.75" customHeight="1">
      <c r="C62204"/>
      <c r="M62204"/>
    </row>
    <row r="62205" spans="3:13" ht="12.75" customHeight="1">
      <c r="C62205"/>
      <c r="M62205"/>
    </row>
    <row r="62206" spans="3:13" ht="12.75" customHeight="1">
      <c r="C62206"/>
      <c r="M62206"/>
    </row>
    <row r="62207" spans="3:13" ht="12.75" customHeight="1">
      <c r="C62207"/>
      <c r="M62207"/>
    </row>
    <row r="62208" spans="3:13" ht="12.75" customHeight="1">
      <c r="C62208"/>
      <c r="M62208"/>
    </row>
    <row r="62209" spans="3:13" ht="12.75" customHeight="1">
      <c r="C62209"/>
      <c r="M62209"/>
    </row>
    <row r="62210" spans="3:13" ht="12.75" customHeight="1">
      <c r="C62210"/>
      <c r="M62210"/>
    </row>
    <row r="62211" spans="3:13" ht="12.75" customHeight="1">
      <c r="C62211"/>
      <c r="M62211"/>
    </row>
    <row r="62212" spans="3:13" ht="12.75" customHeight="1">
      <c r="C62212"/>
      <c r="M62212"/>
    </row>
    <row r="62213" spans="3:13" ht="12.75" customHeight="1">
      <c r="C62213"/>
      <c r="M62213"/>
    </row>
    <row r="62214" spans="3:13" ht="12.75" customHeight="1">
      <c r="C62214"/>
      <c r="M62214"/>
    </row>
    <row r="62215" spans="3:13" ht="12.75" customHeight="1">
      <c r="C62215"/>
      <c r="M62215"/>
    </row>
    <row r="62216" spans="3:13" ht="12.75" customHeight="1">
      <c r="C62216"/>
      <c r="M62216"/>
    </row>
    <row r="62217" spans="3:13" ht="12.75" customHeight="1">
      <c r="C62217"/>
      <c r="M62217"/>
    </row>
    <row r="62218" spans="3:13" ht="12.75" customHeight="1">
      <c r="C62218"/>
      <c r="M62218"/>
    </row>
    <row r="62219" spans="3:13" ht="12.75" customHeight="1">
      <c r="C62219"/>
      <c r="M62219"/>
    </row>
    <row r="62220" spans="3:13" ht="12.75" customHeight="1">
      <c r="C62220"/>
      <c r="M62220"/>
    </row>
    <row r="62221" spans="3:13" ht="12.75" customHeight="1">
      <c r="C62221"/>
      <c r="M62221"/>
    </row>
    <row r="62222" spans="3:13" ht="12.75" customHeight="1">
      <c r="C62222"/>
      <c r="M62222"/>
    </row>
    <row r="62223" spans="3:13" ht="12.75" customHeight="1">
      <c r="C62223"/>
      <c r="M62223"/>
    </row>
    <row r="62224" spans="3:13" ht="12.75" customHeight="1">
      <c r="C62224"/>
      <c r="M62224"/>
    </row>
    <row r="62225" spans="3:13" ht="12.75" customHeight="1">
      <c r="C62225"/>
      <c r="M62225"/>
    </row>
    <row r="62226" spans="3:13" ht="12.75" customHeight="1">
      <c r="C62226"/>
      <c r="M62226"/>
    </row>
    <row r="62227" spans="3:13" ht="12.75" customHeight="1">
      <c r="C62227"/>
      <c r="M62227"/>
    </row>
    <row r="62228" spans="3:13" ht="12.75" customHeight="1">
      <c r="C62228"/>
      <c r="M62228"/>
    </row>
    <row r="62229" spans="3:13" ht="12.75" customHeight="1">
      <c r="C62229"/>
      <c r="M62229"/>
    </row>
    <row r="62230" spans="3:13" ht="12.75" customHeight="1">
      <c r="C62230"/>
      <c r="M62230"/>
    </row>
    <row r="62231" spans="3:13" ht="12.75" customHeight="1">
      <c r="C62231"/>
      <c r="M62231"/>
    </row>
    <row r="62232" spans="3:13" ht="12.75" customHeight="1">
      <c r="C62232"/>
      <c r="M62232"/>
    </row>
    <row r="62233" spans="3:13" ht="12.75" customHeight="1">
      <c r="C62233"/>
      <c r="M62233"/>
    </row>
    <row r="62234" spans="3:13" ht="12.75" customHeight="1">
      <c r="C62234"/>
      <c r="M62234"/>
    </row>
    <row r="62235" spans="3:13" ht="12.75" customHeight="1">
      <c r="C62235"/>
      <c r="M62235"/>
    </row>
    <row r="62236" spans="3:13" ht="12.75" customHeight="1">
      <c r="C62236"/>
      <c r="M62236"/>
    </row>
    <row r="62237" spans="3:13" ht="12.75" customHeight="1">
      <c r="C62237"/>
      <c r="M62237"/>
    </row>
    <row r="62238" spans="3:13" ht="12.75" customHeight="1">
      <c r="C62238"/>
      <c r="M62238"/>
    </row>
    <row r="62239" spans="3:13" ht="12.75" customHeight="1">
      <c r="C62239"/>
      <c r="M62239"/>
    </row>
    <row r="62240" spans="3:13" ht="12.75" customHeight="1">
      <c r="C62240"/>
      <c r="M62240"/>
    </row>
    <row r="62241" spans="3:13" ht="12.75" customHeight="1">
      <c r="C62241"/>
      <c r="M62241"/>
    </row>
    <row r="62242" spans="3:13" ht="12.75" customHeight="1">
      <c r="C62242"/>
      <c r="M62242"/>
    </row>
    <row r="62243" spans="3:13" ht="12.75" customHeight="1">
      <c r="C62243"/>
      <c r="M62243"/>
    </row>
    <row r="62244" spans="3:13" ht="12.75" customHeight="1">
      <c r="C62244"/>
      <c r="M62244"/>
    </row>
    <row r="62245" spans="3:13" ht="12.75" customHeight="1">
      <c r="C62245"/>
      <c r="M62245"/>
    </row>
    <row r="62246" spans="3:13" ht="12.75" customHeight="1">
      <c r="C62246"/>
      <c r="M62246"/>
    </row>
    <row r="62247" spans="3:13" ht="12.75" customHeight="1">
      <c r="C62247"/>
      <c r="M62247"/>
    </row>
    <row r="62248" spans="3:13" ht="12.75" customHeight="1">
      <c r="C62248"/>
      <c r="M62248"/>
    </row>
    <row r="62249" spans="3:13" ht="12.75" customHeight="1">
      <c r="C62249"/>
      <c r="M62249"/>
    </row>
    <row r="62250" spans="3:13" ht="12.75" customHeight="1">
      <c r="C62250"/>
      <c r="M62250"/>
    </row>
    <row r="62251" spans="3:13" ht="12.75" customHeight="1">
      <c r="C62251"/>
      <c r="M62251"/>
    </row>
    <row r="62252" spans="3:13" ht="12.75" customHeight="1">
      <c r="C62252"/>
      <c r="M62252"/>
    </row>
    <row r="62253" spans="3:13" ht="12.75" customHeight="1">
      <c r="C62253"/>
      <c r="M62253"/>
    </row>
    <row r="62254" spans="3:13" ht="12.75" customHeight="1">
      <c r="C62254"/>
      <c r="M62254"/>
    </row>
    <row r="62255" spans="3:13" ht="12.75" customHeight="1">
      <c r="C62255"/>
      <c r="M62255"/>
    </row>
    <row r="62256" spans="3:13" ht="12.75" customHeight="1">
      <c r="C62256"/>
      <c r="M62256"/>
    </row>
    <row r="62257" spans="3:13" ht="12.75" customHeight="1">
      <c r="C62257"/>
      <c r="M62257"/>
    </row>
    <row r="62258" spans="3:13" ht="12.75" customHeight="1">
      <c r="C62258"/>
      <c r="M62258"/>
    </row>
    <row r="62259" spans="3:13" ht="12.75" customHeight="1">
      <c r="C62259"/>
      <c r="M62259"/>
    </row>
    <row r="62260" spans="3:13" ht="12.75" customHeight="1">
      <c r="C62260"/>
      <c r="M62260"/>
    </row>
    <row r="62261" spans="3:13" ht="12.75" customHeight="1">
      <c r="C62261"/>
      <c r="M62261"/>
    </row>
    <row r="62262" spans="3:13" ht="12.75" customHeight="1">
      <c r="C62262"/>
      <c r="M62262"/>
    </row>
    <row r="62263" spans="3:13" ht="12.75" customHeight="1">
      <c r="C62263"/>
      <c r="M62263"/>
    </row>
    <row r="62264" spans="3:13" ht="12.75" customHeight="1">
      <c r="C62264"/>
      <c r="M62264"/>
    </row>
    <row r="62265" spans="3:13" ht="12.75" customHeight="1">
      <c r="C62265"/>
      <c r="M62265"/>
    </row>
    <row r="62266" spans="3:13" ht="12.75" customHeight="1">
      <c r="C62266"/>
      <c r="M62266"/>
    </row>
    <row r="62267" spans="3:13" ht="12.75" customHeight="1">
      <c r="C62267"/>
      <c r="M62267"/>
    </row>
    <row r="62268" spans="3:13" ht="12.75" customHeight="1">
      <c r="C62268"/>
      <c r="M62268"/>
    </row>
    <row r="62269" spans="3:13" ht="12.75" customHeight="1">
      <c r="C62269"/>
      <c r="M62269"/>
    </row>
    <row r="62270" spans="3:13" ht="12.75" customHeight="1">
      <c r="C62270"/>
      <c r="M62270"/>
    </row>
    <row r="62271" spans="3:13" ht="12.75" customHeight="1">
      <c r="C62271"/>
      <c r="M62271"/>
    </row>
    <row r="62272" spans="3:13" ht="12.75" customHeight="1">
      <c r="C62272"/>
      <c r="M62272"/>
    </row>
    <row r="62273" spans="3:13" ht="12.75" customHeight="1">
      <c r="C62273"/>
      <c r="M62273"/>
    </row>
    <row r="62274" spans="3:13" ht="12.75" customHeight="1">
      <c r="C62274"/>
      <c r="M62274"/>
    </row>
    <row r="62275" spans="3:13" ht="12.75" customHeight="1">
      <c r="C62275"/>
      <c r="M62275"/>
    </row>
    <row r="62276" spans="3:13" ht="12.75" customHeight="1">
      <c r="C62276"/>
      <c r="M62276"/>
    </row>
    <row r="62277" spans="3:13" ht="12.75" customHeight="1">
      <c r="C62277"/>
      <c r="M62277"/>
    </row>
    <row r="62278" spans="3:13" ht="12.75" customHeight="1">
      <c r="C62278"/>
      <c r="M62278"/>
    </row>
    <row r="62279" spans="3:13" ht="12.75" customHeight="1">
      <c r="C62279"/>
      <c r="M62279"/>
    </row>
    <row r="62280" spans="3:13" ht="12.75" customHeight="1">
      <c r="C62280"/>
      <c r="M62280"/>
    </row>
    <row r="62281" spans="3:13" ht="12.75" customHeight="1">
      <c r="C62281"/>
      <c r="M62281"/>
    </row>
    <row r="62282" spans="3:13" ht="12.75" customHeight="1">
      <c r="C62282"/>
      <c r="M62282"/>
    </row>
    <row r="62283" spans="3:13" ht="12.75" customHeight="1">
      <c r="C62283"/>
      <c r="M62283"/>
    </row>
    <row r="62284" spans="3:13" ht="12.75" customHeight="1">
      <c r="C62284"/>
      <c r="M62284"/>
    </row>
    <row r="62285" spans="3:13" ht="12.75" customHeight="1">
      <c r="C62285"/>
      <c r="M62285"/>
    </row>
    <row r="62286" spans="3:13" ht="12.75" customHeight="1">
      <c r="C62286"/>
      <c r="M62286"/>
    </row>
    <row r="62287" spans="3:13" ht="12.75" customHeight="1">
      <c r="C62287"/>
      <c r="M62287"/>
    </row>
    <row r="62288" spans="3:13" ht="12.75" customHeight="1">
      <c r="C62288"/>
      <c r="M62288"/>
    </row>
    <row r="62289" spans="3:13" ht="12.75" customHeight="1">
      <c r="C62289"/>
      <c r="M62289"/>
    </row>
    <row r="62290" spans="3:13" ht="12.75" customHeight="1">
      <c r="C62290"/>
      <c r="M62290"/>
    </row>
    <row r="62291" spans="3:13" ht="12.75" customHeight="1">
      <c r="C62291"/>
      <c r="M62291"/>
    </row>
    <row r="62292" spans="3:13" ht="12.75" customHeight="1">
      <c r="C62292"/>
      <c r="M62292"/>
    </row>
    <row r="62293" spans="3:13" ht="12.75" customHeight="1">
      <c r="C62293"/>
      <c r="M62293"/>
    </row>
    <row r="62294" spans="3:13" ht="12.75" customHeight="1">
      <c r="C62294"/>
      <c r="M62294"/>
    </row>
    <row r="62295" spans="3:13" ht="12.75" customHeight="1">
      <c r="C62295"/>
      <c r="M62295"/>
    </row>
    <row r="62296" spans="3:13" ht="12.75" customHeight="1">
      <c r="C62296"/>
      <c r="M62296"/>
    </row>
    <row r="62297" spans="3:13" ht="12.75" customHeight="1">
      <c r="C62297"/>
      <c r="M62297"/>
    </row>
    <row r="62298" spans="3:13" ht="12.75" customHeight="1">
      <c r="C62298"/>
      <c r="M62298"/>
    </row>
    <row r="62299" spans="3:13" ht="12.75" customHeight="1">
      <c r="C62299"/>
      <c r="M62299"/>
    </row>
    <row r="62300" spans="3:13" ht="12.75" customHeight="1">
      <c r="C62300"/>
      <c r="M62300"/>
    </row>
    <row r="62301" spans="3:13" ht="12.75" customHeight="1">
      <c r="C62301"/>
      <c r="M62301"/>
    </row>
    <row r="62302" spans="3:13" ht="12.75" customHeight="1">
      <c r="C62302"/>
      <c r="M62302"/>
    </row>
    <row r="62303" spans="3:13" ht="12.75" customHeight="1">
      <c r="C62303"/>
      <c r="M62303"/>
    </row>
    <row r="62304" spans="3:13" ht="12.75" customHeight="1">
      <c r="C62304"/>
      <c r="M62304"/>
    </row>
    <row r="62305" spans="3:13" ht="12.75" customHeight="1">
      <c r="C62305"/>
      <c r="M62305"/>
    </row>
    <row r="62306" spans="3:13" ht="12.75" customHeight="1">
      <c r="C62306"/>
      <c r="M62306"/>
    </row>
    <row r="62307" spans="3:13" ht="12.75" customHeight="1">
      <c r="C62307"/>
      <c r="M62307"/>
    </row>
    <row r="62308" spans="3:13" ht="12.75" customHeight="1">
      <c r="C62308"/>
      <c r="M62308"/>
    </row>
    <row r="62309" spans="3:13" ht="12.75" customHeight="1">
      <c r="C62309"/>
      <c r="M62309"/>
    </row>
    <row r="62310" spans="3:13" ht="12.75" customHeight="1">
      <c r="C62310"/>
      <c r="M62310"/>
    </row>
    <row r="62311" spans="3:13" ht="12.75" customHeight="1">
      <c r="C62311"/>
      <c r="M62311"/>
    </row>
    <row r="62312" spans="3:13" ht="12.75" customHeight="1">
      <c r="C62312"/>
      <c r="M62312"/>
    </row>
    <row r="62313" spans="3:13" ht="12.75" customHeight="1">
      <c r="C62313"/>
      <c r="M62313"/>
    </row>
    <row r="62314" spans="3:13" ht="12.75" customHeight="1">
      <c r="C62314"/>
      <c r="M62314"/>
    </row>
    <row r="62315" spans="3:13" ht="12.75" customHeight="1">
      <c r="C62315"/>
      <c r="M62315"/>
    </row>
    <row r="62316" spans="3:13" ht="12.75" customHeight="1">
      <c r="C62316"/>
      <c r="M62316"/>
    </row>
    <row r="62317" spans="3:13" ht="12.75" customHeight="1">
      <c r="C62317"/>
      <c r="M62317"/>
    </row>
    <row r="62318" spans="3:13" ht="12.75" customHeight="1">
      <c r="C62318"/>
      <c r="M62318"/>
    </row>
    <row r="62319" spans="3:13" ht="12.75" customHeight="1">
      <c r="C62319"/>
      <c r="M62319"/>
    </row>
    <row r="62320" spans="3:13" ht="12.75" customHeight="1">
      <c r="C62320"/>
      <c r="M62320"/>
    </row>
    <row r="62321" spans="3:13" ht="12.75" customHeight="1">
      <c r="C62321"/>
      <c r="M62321"/>
    </row>
    <row r="62322" spans="3:13" ht="12.75" customHeight="1">
      <c r="C62322"/>
      <c r="M62322"/>
    </row>
    <row r="62323" spans="3:13" ht="12.75" customHeight="1">
      <c r="C62323"/>
      <c r="M62323"/>
    </row>
    <row r="62324" spans="3:13" ht="12.75" customHeight="1">
      <c r="C62324"/>
      <c r="M62324"/>
    </row>
    <row r="62325" spans="3:13" ht="12.75" customHeight="1">
      <c r="C62325"/>
      <c r="M62325"/>
    </row>
    <row r="62326" spans="3:13" ht="12.75" customHeight="1">
      <c r="C62326"/>
      <c r="M62326"/>
    </row>
    <row r="62327" spans="3:13" ht="12.75" customHeight="1">
      <c r="C62327"/>
      <c r="M62327"/>
    </row>
    <row r="62328" spans="3:13" ht="12.75" customHeight="1">
      <c r="C62328"/>
      <c r="M62328"/>
    </row>
    <row r="62329" spans="3:13" ht="12.75" customHeight="1">
      <c r="C62329"/>
      <c r="M62329"/>
    </row>
    <row r="62330" spans="3:13" ht="12.75" customHeight="1">
      <c r="C62330"/>
      <c r="M62330"/>
    </row>
    <row r="62331" spans="3:13" ht="12.75" customHeight="1">
      <c r="C62331"/>
      <c r="M62331"/>
    </row>
    <row r="62332" spans="3:13" ht="12.75" customHeight="1">
      <c r="C62332"/>
      <c r="M62332"/>
    </row>
    <row r="62333" spans="3:13" ht="12.75" customHeight="1">
      <c r="C62333"/>
      <c r="M62333"/>
    </row>
    <row r="62334" spans="3:13" ht="12.75" customHeight="1">
      <c r="C62334"/>
      <c r="M62334"/>
    </row>
    <row r="62335" spans="3:13" ht="12.75" customHeight="1">
      <c r="C62335"/>
      <c r="M62335"/>
    </row>
    <row r="62336" spans="3:13" ht="12.75" customHeight="1">
      <c r="C62336"/>
      <c r="M62336"/>
    </row>
    <row r="62337" spans="3:13" ht="12.75" customHeight="1">
      <c r="C62337"/>
      <c r="M62337"/>
    </row>
    <row r="62338" spans="3:13" ht="12.75" customHeight="1">
      <c r="C62338"/>
      <c r="M62338"/>
    </row>
    <row r="62339" spans="3:13" ht="12.75" customHeight="1">
      <c r="C62339"/>
      <c r="M62339"/>
    </row>
    <row r="62340" spans="3:13" ht="12.75" customHeight="1">
      <c r="C62340"/>
      <c r="M62340"/>
    </row>
    <row r="62341" spans="3:13" ht="12.75" customHeight="1">
      <c r="C62341"/>
      <c r="M62341"/>
    </row>
    <row r="62342" spans="3:13" ht="12.75" customHeight="1">
      <c r="C62342"/>
      <c r="M62342"/>
    </row>
    <row r="62343" spans="3:13" ht="12.75" customHeight="1">
      <c r="C62343"/>
      <c r="M62343"/>
    </row>
    <row r="62344" spans="3:13" ht="12.75" customHeight="1">
      <c r="C62344"/>
      <c r="M62344"/>
    </row>
    <row r="62345" spans="3:13" ht="12.75" customHeight="1">
      <c r="C62345"/>
      <c r="M62345"/>
    </row>
    <row r="62346" spans="3:13" ht="12.75" customHeight="1">
      <c r="C62346"/>
      <c r="M62346"/>
    </row>
    <row r="62347" spans="3:13" ht="12.75" customHeight="1">
      <c r="C62347"/>
      <c r="M62347"/>
    </row>
    <row r="62348" spans="3:13" ht="12.75" customHeight="1">
      <c r="C62348"/>
      <c r="M62348"/>
    </row>
    <row r="62349" spans="3:13" ht="12.75" customHeight="1">
      <c r="C62349"/>
      <c r="M62349"/>
    </row>
    <row r="62350" spans="3:13" ht="12.75" customHeight="1">
      <c r="C62350"/>
      <c r="M62350"/>
    </row>
    <row r="62351" spans="3:13" ht="12.75" customHeight="1">
      <c r="C62351"/>
      <c r="M62351"/>
    </row>
    <row r="62352" spans="3:13" ht="12.75" customHeight="1">
      <c r="C62352"/>
      <c r="M62352"/>
    </row>
    <row r="62353" spans="3:13" ht="12.75" customHeight="1">
      <c r="C62353"/>
      <c r="M62353"/>
    </row>
    <row r="62354" spans="3:13" ht="12.75" customHeight="1">
      <c r="C62354"/>
      <c r="M62354"/>
    </row>
    <row r="62355" spans="3:13" ht="12.75" customHeight="1">
      <c r="C62355"/>
      <c r="M62355"/>
    </row>
    <row r="62356" spans="3:13" ht="12.75" customHeight="1">
      <c r="C62356"/>
      <c r="M62356"/>
    </row>
    <row r="62357" spans="3:13" ht="12.75" customHeight="1">
      <c r="C62357"/>
      <c r="M62357"/>
    </row>
    <row r="62358" spans="3:13" ht="12.75" customHeight="1">
      <c r="C62358"/>
      <c r="M62358"/>
    </row>
    <row r="62359" spans="3:13" ht="12.75" customHeight="1">
      <c r="C62359"/>
      <c r="M62359"/>
    </row>
    <row r="62360" spans="3:13" ht="12.75" customHeight="1">
      <c r="C62360"/>
      <c r="M62360"/>
    </row>
    <row r="62361" spans="3:13" ht="12.75" customHeight="1">
      <c r="C62361"/>
      <c r="M62361"/>
    </row>
    <row r="62362" spans="3:13" ht="12.75" customHeight="1">
      <c r="C62362"/>
      <c r="M62362"/>
    </row>
    <row r="62363" spans="3:13" ht="12.75" customHeight="1">
      <c r="C62363"/>
      <c r="M62363"/>
    </row>
    <row r="62364" spans="3:13" ht="12.75" customHeight="1">
      <c r="C62364"/>
      <c r="M62364"/>
    </row>
    <row r="62365" spans="3:13" ht="12.75" customHeight="1">
      <c r="C62365"/>
      <c r="M62365"/>
    </row>
    <row r="62366" spans="3:13" ht="12.75" customHeight="1">
      <c r="C62366"/>
      <c r="M62366"/>
    </row>
    <row r="62367" spans="3:13" ht="12.75" customHeight="1">
      <c r="C62367"/>
      <c r="M62367"/>
    </row>
    <row r="62368" spans="3:13" ht="12.75" customHeight="1">
      <c r="C62368"/>
      <c r="M62368"/>
    </row>
    <row r="62369" spans="3:13" ht="12.75" customHeight="1">
      <c r="C62369"/>
      <c r="M62369"/>
    </row>
    <row r="62370" spans="3:13" ht="12.75" customHeight="1">
      <c r="C62370"/>
      <c r="M62370"/>
    </row>
    <row r="62371" spans="3:13" ht="12.75" customHeight="1">
      <c r="C62371"/>
      <c r="M62371"/>
    </row>
    <row r="62372" spans="3:13" ht="12.75" customHeight="1">
      <c r="C62372"/>
      <c r="M62372"/>
    </row>
    <row r="62373" spans="3:13" ht="12.75" customHeight="1">
      <c r="C62373"/>
      <c r="M62373"/>
    </row>
    <row r="62374" spans="3:13" ht="12.75" customHeight="1">
      <c r="C62374"/>
      <c r="M62374"/>
    </row>
    <row r="62375" spans="3:13" ht="12.75" customHeight="1">
      <c r="C62375"/>
      <c r="M62375"/>
    </row>
    <row r="62376" spans="3:13" ht="12.75" customHeight="1">
      <c r="C62376"/>
      <c r="M62376"/>
    </row>
    <row r="62377" spans="3:13" ht="12.75" customHeight="1">
      <c r="C62377"/>
      <c r="M62377"/>
    </row>
    <row r="62378" spans="3:13" ht="12.75" customHeight="1">
      <c r="C62378"/>
      <c r="M62378"/>
    </row>
    <row r="62379" spans="3:13" ht="12.75" customHeight="1">
      <c r="C62379"/>
      <c r="M62379"/>
    </row>
    <row r="62380" spans="3:13" ht="12.75" customHeight="1">
      <c r="C62380"/>
      <c r="M62380"/>
    </row>
    <row r="62381" spans="3:13" ht="12.75" customHeight="1">
      <c r="C62381"/>
      <c r="M62381"/>
    </row>
    <row r="62382" spans="3:13" ht="12.75" customHeight="1">
      <c r="C62382"/>
      <c r="M62382"/>
    </row>
    <row r="62383" spans="3:13" ht="12.75" customHeight="1">
      <c r="C62383"/>
      <c r="M62383"/>
    </row>
    <row r="62384" spans="3:13" ht="12.75" customHeight="1">
      <c r="C62384"/>
      <c r="M62384"/>
    </row>
    <row r="62385" spans="3:13" ht="12.75" customHeight="1">
      <c r="C62385"/>
      <c r="M62385"/>
    </row>
    <row r="62386" spans="3:13" ht="12.75" customHeight="1">
      <c r="C62386"/>
      <c r="M62386"/>
    </row>
    <row r="62387" spans="3:13" ht="12.75" customHeight="1">
      <c r="C62387"/>
      <c r="M62387"/>
    </row>
    <row r="62388" spans="3:13" ht="12.75" customHeight="1">
      <c r="C62388"/>
      <c r="M62388"/>
    </row>
    <row r="62389" spans="3:13" ht="12.75" customHeight="1">
      <c r="C62389"/>
      <c r="M62389"/>
    </row>
    <row r="62390" spans="3:13" ht="12.75" customHeight="1">
      <c r="C62390"/>
      <c r="M62390"/>
    </row>
    <row r="62391" spans="3:13" ht="12.75" customHeight="1">
      <c r="C62391"/>
      <c r="M62391"/>
    </row>
    <row r="62392" spans="3:13" ht="12.75" customHeight="1">
      <c r="C62392"/>
      <c r="M62392"/>
    </row>
    <row r="62393" spans="3:13" ht="12.75" customHeight="1">
      <c r="C62393"/>
      <c r="M62393"/>
    </row>
    <row r="62394" spans="3:13" ht="12.75" customHeight="1">
      <c r="C62394"/>
      <c r="M62394"/>
    </row>
    <row r="62395" spans="3:13" ht="12.75" customHeight="1">
      <c r="C62395"/>
      <c r="M62395"/>
    </row>
    <row r="62396" spans="3:13" ht="12.75" customHeight="1">
      <c r="C62396"/>
      <c r="M62396"/>
    </row>
    <row r="62397" spans="3:13" ht="12.75" customHeight="1">
      <c r="C62397"/>
      <c r="M62397"/>
    </row>
    <row r="62398" spans="3:13" ht="12.75" customHeight="1">
      <c r="C62398"/>
      <c r="M62398"/>
    </row>
    <row r="62399" spans="3:13" ht="12.75" customHeight="1">
      <c r="C62399"/>
      <c r="M62399"/>
    </row>
    <row r="62400" spans="3:13" ht="12.75" customHeight="1">
      <c r="C62400"/>
      <c r="M62400"/>
    </row>
    <row r="62401" spans="3:13" ht="12.75" customHeight="1">
      <c r="C62401"/>
      <c r="M62401"/>
    </row>
    <row r="62402" spans="3:13" ht="12.75" customHeight="1">
      <c r="C62402"/>
      <c r="M62402"/>
    </row>
    <row r="62403" spans="3:13" ht="12.75" customHeight="1">
      <c r="C62403"/>
      <c r="M62403"/>
    </row>
    <row r="62404" spans="3:13" ht="12.75" customHeight="1">
      <c r="C62404"/>
      <c r="M62404"/>
    </row>
    <row r="62405" spans="3:13" ht="12.75" customHeight="1">
      <c r="C62405"/>
      <c r="M62405"/>
    </row>
    <row r="62406" spans="3:13" ht="12.75" customHeight="1">
      <c r="C62406"/>
      <c r="M62406"/>
    </row>
    <row r="62407" spans="3:13" ht="12.75" customHeight="1">
      <c r="C62407"/>
      <c r="M62407"/>
    </row>
    <row r="62408" spans="3:13" ht="12.75" customHeight="1">
      <c r="C62408"/>
      <c r="M62408"/>
    </row>
    <row r="62409" spans="3:13" ht="12.75" customHeight="1">
      <c r="C62409"/>
      <c r="M62409"/>
    </row>
    <row r="62410" spans="3:13" ht="12.75" customHeight="1">
      <c r="C62410"/>
      <c r="M62410"/>
    </row>
    <row r="62411" spans="3:13" ht="12.75" customHeight="1">
      <c r="C62411"/>
      <c r="M62411"/>
    </row>
    <row r="62412" spans="3:13" ht="12.75" customHeight="1">
      <c r="C62412"/>
      <c r="M62412"/>
    </row>
    <row r="62413" spans="3:13" ht="12.75" customHeight="1">
      <c r="C62413"/>
      <c r="M62413"/>
    </row>
    <row r="62414" spans="3:13" ht="12.75" customHeight="1">
      <c r="C62414"/>
      <c r="M62414"/>
    </row>
    <row r="62415" spans="3:13" ht="12.75" customHeight="1">
      <c r="C62415"/>
      <c r="M62415"/>
    </row>
    <row r="62416" spans="3:13" ht="12.75" customHeight="1">
      <c r="C62416"/>
      <c r="M62416"/>
    </row>
    <row r="62417" spans="3:13" ht="12.75" customHeight="1">
      <c r="C62417"/>
      <c r="M62417"/>
    </row>
    <row r="62418" spans="3:13" ht="12.75" customHeight="1">
      <c r="C62418"/>
      <c r="M62418"/>
    </row>
    <row r="62419" spans="3:13" ht="12.75" customHeight="1">
      <c r="C62419"/>
      <c r="M62419"/>
    </row>
    <row r="62420" spans="3:13" ht="12.75" customHeight="1">
      <c r="C62420"/>
      <c r="M62420"/>
    </row>
    <row r="62421" spans="3:13" ht="12.75" customHeight="1">
      <c r="C62421"/>
      <c r="M62421"/>
    </row>
    <row r="62422" spans="3:13" ht="12.75" customHeight="1">
      <c r="C62422"/>
      <c r="M62422"/>
    </row>
    <row r="62423" spans="3:13" ht="12.75" customHeight="1">
      <c r="C62423"/>
      <c r="M62423"/>
    </row>
    <row r="62424" spans="3:13" ht="12.75" customHeight="1">
      <c r="C62424"/>
      <c r="M62424"/>
    </row>
    <row r="62425" spans="3:13" ht="12.75" customHeight="1">
      <c r="C62425"/>
      <c r="M62425"/>
    </row>
    <row r="62426" spans="3:13" ht="12.75" customHeight="1">
      <c r="C62426"/>
      <c r="M62426"/>
    </row>
    <row r="62427" spans="3:13" ht="12.75" customHeight="1">
      <c r="C62427"/>
      <c r="M62427"/>
    </row>
    <row r="62428" spans="3:13" ht="12.75" customHeight="1">
      <c r="C62428"/>
      <c r="M62428"/>
    </row>
    <row r="62429" spans="3:13" ht="12.75" customHeight="1">
      <c r="C62429"/>
      <c r="M62429"/>
    </row>
    <row r="62430" spans="3:13" ht="12.75" customHeight="1">
      <c r="C62430"/>
      <c r="M62430"/>
    </row>
    <row r="62431" spans="3:13" ht="12.75" customHeight="1">
      <c r="C62431"/>
      <c r="M62431"/>
    </row>
    <row r="62432" spans="3:13" ht="12.75" customHeight="1">
      <c r="C62432"/>
      <c r="M62432"/>
    </row>
    <row r="62433" spans="3:13" ht="12.75" customHeight="1">
      <c r="C62433"/>
      <c r="M62433"/>
    </row>
    <row r="62434" spans="3:13" ht="12.75" customHeight="1">
      <c r="C62434"/>
      <c r="M62434"/>
    </row>
    <row r="62435" spans="3:13" ht="12.75" customHeight="1">
      <c r="C62435"/>
      <c r="M62435"/>
    </row>
    <row r="62436" spans="3:13" ht="12.75" customHeight="1">
      <c r="C62436"/>
      <c r="M62436"/>
    </row>
    <row r="62437" spans="3:13" ht="12.75" customHeight="1">
      <c r="C62437"/>
      <c r="M62437"/>
    </row>
    <row r="62438" spans="3:13" ht="12.75" customHeight="1">
      <c r="C62438"/>
      <c r="M62438"/>
    </row>
    <row r="62439" spans="3:13" ht="12.75" customHeight="1">
      <c r="C62439"/>
      <c r="M62439"/>
    </row>
    <row r="62440" spans="3:13" ht="12.75" customHeight="1">
      <c r="C62440"/>
      <c r="M62440"/>
    </row>
    <row r="62441" spans="3:13" ht="12.75" customHeight="1">
      <c r="C62441"/>
      <c r="M62441"/>
    </row>
    <row r="62442" spans="3:13" ht="12.75" customHeight="1">
      <c r="C62442"/>
      <c r="M62442"/>
    </row>
    <row r="62443" spans="3:13" ht="12.75" customHeight="1">
      <c r="C62443"/>
      <c r="M62443"/>
    </row>
    <row r="62444" spans="3:13" ht="12.75" customHeight="1">
      <c r="C62444"/>
      <c r="M62444"/>
    </row>
    <row r="62445" spans="3:13" ht="12.75" customHeight="1">
      <c r="C62445"/>
      <c r="M62445"/>
    </row>
    <row r="62446" spans="3:13" ht="12.75" customHeight="1">
      <c r="C62446"/>
      <c r="M62446"/>
    </row>
    <row r="62447" spans="3:13" ht="12.75" customHeight="1">
      <c r="C62447"/>
      <c r="M62447"/>
    </row>
    <row r="62448" spans="3:13" ht="12.75" customHeight="1">
      <c r="C62448"/>
      <c r="M62448"/>
    </row>
    <row r="62449" spans="3:13" ht="12.75" customHeight="1">
      <c r="C62449"/>
      <c r="M62449"/>
    </row>
    <row r="62450" spans="3:13" ht="12.75" customHeight="1">
      <c r="C62450"/>
      <c r="M62450"/>
    </row>
    <row r="62451" spans="3:13" ht="12.75" customHeight="1">
      <c r="C62451"/>
      <c r="M62451"/>
    </row>
    <row r="62452" spans="3:13" ht="12.75" customHeight="1">
      <c r="C62452"/>
      <c r="M62452"/>
    </row>
    <row r="62453" spans="3:13" ht="12.75" customHeight="1">
      <c r="C62453"/>
      <c r="M62453"/>
    </row>
    <row r="62454" spans="3:13" ht="12.75" customHeight="1">
      <c r="C62454"/>
      <c r="M62454"/>
    </row>
    <row r="62455" spans="3:13" ht="12.75" customHeight="1">
      <c r="C62455"/>
      <c r="M62455"/>
    </row>
    <row r="62456" spans="3:13" ht="12.75" customHeight="1">
      <c r="C62456"/>
      <c r="M62456"/>
    </row>
    <row r="62457" spans="3:13" ht="12.75" customHeight="1">
      <c r="C62457"/>
      <c r="M62457"/>
    </row>
    <row r="62458" spans="3:13" ht="12.75" customHeight="1">
      <c r="C62458"/>
      <c r="M62458"/>
    </row>
    <row r="62459" spans="3:13" ht="12.75" customHeight="1">
      <c r="C62459"/>
      <c r="M62459"/>
    </row>
    <row r="62460" spans="3:13" ht="12.75" customHeight="1">
      <c r="C62460"/>
      <c r="M62460"/>
    </row>
    <row r="62461" spans="3:13" ht="12.75" customHeight="1">
      <c r="C62461"/>
      <c r="M62461"/>
    </row>
    <row r="62462" spans="3:13" ht="12.75" customHeight="1">
      <c r="C62462"/>
      <c r="M62462"/>
    </row>
    <row r="62463" spans="3:13" ht="12.75" customHeight="1">
      <c r="C62463"/>
      <c r="M62463"/>
    </row>
    <row r="62464" spans="3:13" ht="12.75" customHeight="1">
      <c r="C62464"/>
      <c r="M62464"/>
    </row>
    <row r="62465" spans="3:13" ht="12.75" customHeight="1">
      <c r="C62465"/>
      <c r="M62465"/>
    </row>
    <row r="62466" spans="3:13" ht="12.75" customHeight="1">
      <c r="C62466"/>
      <c r="M62466"/>
    </row>
    <row r="62467" spans="3:13" ht="12.75" customHeight="1">
      <c r="C62467"/>
      <c r="M62467"/>
    </row>
    <row r="62468" spans="3:13" ht="12.75" customHeight="1">
      <c r="C62468"/>
      <c r="M62468"/>
    </row>
    <row r="62469" spans="3:13" ht="12.75" customHeight="1">
      <c r="C62469"/>
      <c r="M62469"/>
    </row>
    <row r="62470" spans="3:13" ht="12.75" customHeight="1">
      <c r="C62470"/>
      <c r="M62470"/>
    </row>
    <row r="62471" spans="3:13" ht="12.75" customHeight="1">
      <c r="C62471"/>
      <c r="M62471"/>
    </row>
    <row r="62472" spans="3:13" ht="12.75" customHeight="1">
      <c r="C62472"/>
      <c r="M62472"/>
    </row>
    <row r="62473" spans="3:13" ht="12.75" customHeight="1">
      <c r="C62473"/>
      <c r="M62473"/>
    </row>
    <row r="62474" spans="3:13" ht="12.75" customHeight="1">
      <c r="C62474"/>
      <c r="M62474"/>
    </row>
    <row r="62475" spans="3:13" ht="12.75" customHeight="1">
      <c r="C62475"/>
      <c r="M62475"/>
    </row>
    <row r="62476" spans="3:13" ht="12.75" customHeight="1">
      <c r="C62476"/>
      <c r="M62476"/>
    </row>
    <row r="62477" spans="3:13" ht="12.75" customHeight="1">
      <c r="C62477"/>
      <c r="M62477"/>
    </row>
    <row r="62478" spans="3:13" ht="12.75" customHeight="1">
      <c r="C62478"/>
      <c r="M62478"/>
    </row>
    <row r="62479" spans="3:13" ht="12.75" customHeight="1">
      <c r="C62479"/>
      <c r="M62479"/>
    </row>
    <row r="62480" spans="3:13" ht="12.75" customHeight="1">
      <c r="C62480"/>
      <c r="M62480"/>
    </row>
    <row r="62481" spans="3:13" ht="12.75" customHeight="1">
      <c r="C62481"/>
      <c r="M62481"/>
    </row>
    <row r="62482" spans="3:13" ht="12.75" customHeight="1">
      <c r="C62482"/>
      <c r="M62482"/>
    </row>
    <row r="62483" spans="3:13" ht="12.75" customHeight="1">
      <c r="C62483"/>
      <c r="M62483"/>
    </row>
    <row r="62484" spans="3:13" ht="12.75" customHeight="1">
      <c r="C62484"/>
      <c r="M62484"/>
    </row>
    <row r="62485" spans="3:13" ht="12.75" customHeight="1">
      <c r="C62485"/>
      <c r="M62485"/>
    </row>
    <row r="62486" spans="3:13" ht="12.75" customHeight="1">
      <c r="C62486"/>
      <c r="M62486"/>
    </row>
    <row r="62487" spans="3:13" ht="12.75" customHeight="1">
      <c r="C62487"/>
      <c r="M62487"/>
    </row>
    <row r="62488" spans="3:13" ht="12.75" customHeight="1">
      <c r="C62488"/>
      <c r="M62488"/>
    </row>
    <row r="62489" spans="3:13" ht="12.75" customHeight="1">
      <c r="C62489"/>
      <c r="M62489"/>
    </row>
    <row r="62490" spans="3:13" ht="12.75" customHeight="1">
      <c r="C62490"/>
      <c r="M62490"/>
    </row>
    <row r="62491" spans="3:13" ht="12.75" customHeight="1">
      <c r="C62491"/>
      <c r="M62491"/>
    </row>
    <row r="62492" spans="3:13" ht="12.75" customHeight="1">
      <c r="C62492"/>
      <c r="M62492"/>
    </row>
    <row r="62493" spans="3:13" ht="12.75" customHeight="1">
      <c r="C62493"/>
      <c r="M62493"/>
    </row>
    <row r="62494" spans="3:13" ht="12.75" customHeight="1">
      <c r="C62494"/>
      <c r="M62494"/>
    </row>
    <row r="62495" spans="3:13" ht="12.75" customHeight="1">
      <c r="C62495"/>
      <c r="M62495"/>
    </row>
    <row r="62496" spans="3:13" ht="12.75" customHeight="1">
      <c r="C62496"/>
      <c r="M62496"/>
    </row>
    <row r="62497" spans="3:13" ht="12.75" customHeight="1">
      <c r="C62497"/>
      <c r="M62497"/>
    </row>
    <row r="62498" spans="3:13" ht="12.75" customHeight="1">
      <c r="C62498"/>
      <c r="M62498"/>
    </row>
    <row r="62499" spans="3:13" ht="12.75" customHeight="1">
      <c r="C62499"/>
      <c r="M62499"/>
    </row>
    <row r="62500" spans="3:13" ht="12.75" customHeight="1">
      <c r="C62500"/>
      <c r="M62500"/>
    </row>
    <row r="62501" spans="3:13" ht="12.75" customHeight="1">
      <c r="C62501"/>
      <c r="M62501"/>
    </row>
    <row r="62502" spans="3:13" ht="12.75" customHeight="1">
      <c r="C62502"/>
      <c r="M62502"/>
    </row>
    <row r="62503" spans="3:13" ht="12.75" customHeight="1">
      <c r="C62503"/>
      <c r="M62503"/>
    </row>
    <row r="62504" spans="3:13" ht="12.75" customHeight="1">
      <c r="C62504"/>
      <c r="M62504"/>
    </row>
    <row r="62505" spans="3:13" ht="12.75" customHeight="1">
      <c r="C62505"/>
      <c r="M62505"/>
    </row>
    <row r="62506" spans="3:13" ht="12.75" customHeight="1">
      <c r="C62506"/>
      <c r="M62506"/>
    </row>
    <row r="62507" spans="3:13" ht="12.75" customHeight="1">
      <c r="C62507"/>
      <c r="M62507"/>
    </row>
    <row r="62508" spans="3:13" ht="12.75" customHeight="1">
      <c r="C62508"/>
      <c r="M62508"/>
    </row>
    <row r="62509" spans="3:13" ht="12.75" customHeight="1">
      <c r="C62509"/>
      <c r="M62509"/>
    </row>
    <row r="62510" spans="3:13" ht="12.75" customHeight="1">
      <c r="C62510"/>
      <c r="M62510"/>
    </row>
    <row r="62511" spans="3:13" ht="12.75" customHeight="1">
      <c r="C62511"/>
      <c r="M62511"/>
    </row>
    <row r="62512" spans="3:13" ht="12.75" customHeight="1">
      <c r="C62512"/>
      <c r="M62512"/>
    </row>
    <row r="62513" spans="3:13" ht="12.75" customHeight="1">
      <c r="C62513"/>
      <c r="M62513"/>
    </row>
    <row r="62514" spans="3:13" ht="12.75" customHeight="1">
      <c r="C62514"/>
      <c r="M62514"/>
    </row>
    <row r="62515" spans="3:13" ht="12.75" customHeight="1">
      <c r="C62515"/>
      <c r="M62515"/>
    </row>
    <row r="62516" spans="3:13" ht="12.75" customHeight="1">
      <c r="C62516"/>
      <c r="M62516"/>
    </row>
    <row r="62517" spans="3:13" ht="12.75" customHeight="1">
      <c r="C62517"/>
      <c r="M62517"/>
    </row>
    <row r="62518" spans="3:13" ht="12.75" customHeight="1">
      <c r="C62518"/>
      <c r="M62518"/>
    </row>
    <row r="62519" spans="3:13" ht="12.75" customHeight="1">
      <c r="C62519"/>
      <c r="M62519"/>
    </row>
    <row r="62520" spans="3:13" ht="12.75" customHeight="1">
      <c r="C62520"/>
      <c r="M62520"/>
    </row>
    <row r="62521" spans="3:13" ht="12.75" customHeight="1">
      <c r="C62521"/>
      <c r="M62521"/>
    </row>
    <row r="62522" spans="3:13" ht="12.75" customHeight="1">
      <c r="C62522"/>
      <c r="M62522"/>
    </row>
    <row r="62523" spans="3:13" ht="12.75" customHeight="1">
      <c r="C62523"/>
      <c r="M62523"/>
    </row>
    <row r="62524" spans="3:13" ht="12.75" customHeight="1">
      <c r="C62524"/>
      <c r="M62524"/>
    </row>
    <row r="62525" spans="3:13" ht="12.75" customHeight="1">
      <c r="C62525"/>
      <c r="M62525"/>
    </row>
    <row r="62526" spans="3:13" ht="12.75" customHeight="1">
      <c r="C62526"/>
      <c r="M62526"/>
    </row>
    <row r="62527" spans="3:13" ht="12.75" customHeight="1">
      <c r="C62527"/>
      <c r="M62527"/>
    </row>
    <row r="62528" spans="3:13" ht="12.75" customHeight="1">
      <c r="C62528"/>
      <c r="M62528"/>
    </row>
    <row r="62529" spans="3:13" ht="12.75" customHeight="1">
      <c r="C62529"/>
      <c r="M62529"/>
    </row>
    <row r="62530" spans="3:13" ht="12.75" customHeight="1">
      <c r="C62530"/>
      <c r="M62530"/>
    </row>
    <row r="62531" spans="3:13" ht="12.75" customHeight="1">
      <c r="C62531"/>
      <c r="M62531"/>
    </row>
    <row r="62532" spans="3:13" ht="12.75" customHeight="1">
      <c r="C62532"/>
      <c r="M62532"/>
    </row>
    <row r="62533" spans="3:13" ht="12.75" customHeight="1">
      <c r="C62533"/>
      <c r="M62533"/>
    </row>
    <row r="62534" spans="3:13" ht="12.75" customHeight="1">
      <c r="C62534"/>
      <c r="M62534"/>
    </row>
    <row r="62535" spans="3:13" ht="12.75" customHeight="1">
      <c r="C62535"/>
      <c r="M62535"/>
    </row>
    <row r="62536" spans="3:13" ht="12.75" customHeight="1">
      <c r="C62536"/>
      <c r="M62536"/>
    </row>
    <row r="62537" spans="3:13" ht="12.75" customHeight="1">
      <c r="C62537"/>
      <c r="M62537"/>
    </row>
    <row r="62538" spans="3:13" ht="12.75" customHeight="1">
      <c r="C62538"/>
      <c r="M62538"/>
    </row>
    <row r="62539" spans="3:13" ht="12.75" customHeight="1">
      <c r="C62539"/>
      <c r="M62539"/>
    </row>
    <row r="62540" spans="3:13" ht="12.75" customHeight="1">
      <c r="C62540"/>
      <c r="M62540"/>
    </row>
    <row r="62541" spans="3:13" ht="12.75" customHeight="1">
      <c r="C62541"/>
      <c r="M62541"/>
    </row>
    <row r="62542" spans="3:13" ht="12.75" customHeight="1">
      <c r="C62542"/>
      <c r="M62542"/>
    </row>
    <row r="62543" spans="3:13" ht="12.75" customHeight="1">
      <c r="C62543"/>
      <c r="M62543"/>
    </row>
    <row r="62544" spans="3:13" ht="12.75" customHeight="1">
      <c r="C62544"/>
      <c r="M62544"/>
    </row>
    <row r="62545" spans="3:13" ht="12.75" customHeight="1">
      <c r="C62545"/>
      <c r="M62545"/>
    </row>
    <row r="62546" spans="3:13" ht="12.75" customHeight="1">
      <c r="C62546"/>
      <c r="M62546"/>
    </row>
    <row r="62547" spans="3:13" ht="12.75" customHeight="1">
      <c r="C62547"/>
      <c r="M62547"/>
    </row>
    <row r="62548" spans="3:13" ht="12.75" customHeight="1">
      <c r="C62548"/>
      <c r="M62548"/>
    </row>
    <row r="62549" spans="3:13" ht="12.75" customHeight="1">
      <c r="C62549"/>
      <c r="M62549"/>
    </row>
    <row r="62550" spans="3:13" ht="12.75" customHeight="1">
      <c r="C62550"/>
      <c r="M62550"/>
    </row>
    <row r="62551" spans="3:13" ht="12.75" customHeight="1">
      <c r="C62551"/>
      <c r="M62551"/>
    </row>
    <row r="62552" spans="3:13" ht="12.75" customHeight="1">
      <c r="C62552"/>
      <c r="M62552"/>
    </row>
    <row r="62553" spans="3:13" ht="12.75" customHeight="1">
      <c r="C62553"/>
      <c r="M62553"/>
    </row>
    <row r="62554" spans="3:13" ht="12.75" customHeight="1">
      <c r="C62554"/>
      <c r="M62554"/>
    </row>
    <row r="62555" spans="3:13" ht="12.75" customHeight="1">
      <c r="C62555"/>
      <c r="M62555"/>
    </row>
    <row r="62556" spans="3:13" ht="12.75" customHeight="1">
      <c r="C62556"/>
      <c r="M62556"/>
    </row>
    <row r="62557" spans="3:13" ht="12.75" customHeight="1">
      <c r="C62557"/>
      <c r="M62557"/>
    </row>
    <row r="62558" spans="3:13" ht="12.75" customHeight="1">
      <c r="C62558"/>
      <c r="M62558"/>
    </row>
    <row r="62559" spans="3:13" ht="12.75" customHeight="1">
      <c r="C62559"/>
      <c r="M62559"/>
    </row>
    <row r="62560" spans="3:13" ht="12.75" customHeight="1">
      <c r="C62560"/>
      <c r="M62560"/>
    </row>
    <row r="62561" spans="3:13" ht="12.75" customHeight="1">
      <c r="C62561"/>
      <c r="M62561"/>
    </row>
    <row r="62562" spans="3:13" ht="12.75" customHeight="1">
      <c r="C62562"/>
      <c r="M62562"/>
    </row>
    <row r="62563" spans="3:13" ht="12.75" customHeight="1">
      <c r="C62563"/>
      <c r="M62563"/>
    </row>
    <row r="62564" spans="3:13" ht="12.75" customHeight="1">
      <c r="C62564"/>
      <c r="M62564"/>
    </row>
    <row r="62565" spans="3:13" ht="12.75" customHeight="1">
      <c r="C62565"/>
      <c r="M62565"/>
    </row>
    <row r="62566" spans="3:13" ht="12.75" customHeight="1">
      <c r="C62566"/>
      <c r="M62566"/>
    </row>
    <row r="62567" spans="3:13" ht="12.75" customHeight="1">
      <c r="C62567"/>
      <c r="M62567"/>
    </row>
    <row r="62568" spans="3:13" ht="12.75" customHeight="1">
      <c r="C62568"/>
      <c r="M62568"/>
    </row>
    <row r="62569" spans="3:13" ht="12.75" customHeight="1">
      <c r="C62569"/>
      <c r="M62569"/>
    </row>
    <row r="62570" spans="3:13" ht="12.75" customHeight="1">
      <c r="C62570"/>
      <c r="M62570"/>
    </row>
    <row r="62571" spans="3:13" ht="12.75" customHeight="1">
      <c r="C62571"/>
      <c r="M62571"/>
    </row>
    <row r="62572" spans="3:13" ht="12.75" customHeight="1">
      <c r="C62572"/>
      <c r="M62572"/>
    </row>
    <row r="62573" spans="3:13" ht="12.75" customHeight="1">
      <c r="C62573"/>
      <c r="M62573"/>
    </row>
    <row r="62574" spans="3:13" ht="12.75" customHeight="1">
      <c r="C62574"/>
      <c r="M62574"/>
    </row>
    <row r="62575" spans="3:13" ht="12.75" customHeight="1">
      <c r="C62575"/>
      <c r="M62575"/>
    </row>
    <row r="62576" spans="3:13" ht="12.75" customHeight="1">
      <c r="C62576"/>
      <c r="M62576"/>
    </row>
    <row r="62577" spans="3:13" ht="12.75" customHeight="1">
      <c r="C62577"/>
      <c r="M62577"/>
    </row>
    <row r="62578" spans="3:13" ht="12.75" customHeight="1">
      <c r="C62578"/>
      <c r="M62578"/>
    </row>
    <row r="62579" spans="3:13" ht="12.75" customHeight="1">
      <c r="C62579"/>
      <c r="M62579"/>
    </row>
    <row r="62580" spans="3:13" ht="12.75" customHeight="1">
      <c r="C62580"/>
      <c r="M62580"/>
    </row>
    <row r="62581" spans="3:13" ht="12.75" customHeight="1">
      <c r="C62581"/>
      <c r="M62581"/>
    </row>
    <row r="62582" spans="3:13" ht="12.75" customHeight="1">
      <c r="C62582"/>
      <c r="M62582"/>
    </row>
    <row r="62583" spans="3:13" ht="12.75" customHeight="1">
      <c r="C62583"/>
      <c r="M62583"/>
    </row>
    <row r="62584" spans="3:13" ht="12.75" customHeight="1">
      <c r="C62584"/>
      <c r="M62584"/>
    </row>
    <row r="62585" spans="3:13" ht="12.75" customHeight="1">
      <c r="C62585"/>
      <c r="M62585"/>
    </row>
    <row r="62586" spans="3:13" ht="12.75" customHeight="1">
      <c r="C62586"/>
      <c r="M62586"/>
    </row>
    <row r="62587" spans="3:13" ht="12.75" customHeight="1">
      <c r="C62587"/>
      <c r="M62587"/>
    </row>
    <row r="62588" spans="3:13" ht="12.75" customHeight="1">
      <c r="C62588"/>
      <c r="M62588"/>
    </row>
    <row r="62589" spans="3:13" ht="12.75" customHeight="1">
      <c r="C62589"/>
      <c r="M62589"/>
    </row>
    <row r="62590" spans="3:13" ht="12.75" customHeight="1">
      <c r="C62590"/>
      <c r="M62590"/>
    </row>
    <row r="62591" spans="3:13" ht="12.75" customHeight="1">
      <c r="C62591"/>
      <c r="M62591"/>
    </row>
    <row r="62592" spans="3:13" ht="12.75" customHeight="1">
      <c r="C62592"/>
      <c r="M62592"/>
    </row>
    <row r="62593" spans="3:13" ht="12.75" customHeight="1">
      <c r="C62593"/>
      <c r="M62593"/>
    </row>
    <row r="62594" spans="3:13" ht="12.75" customHeight="1">
      <c r="C62594"/>
      <c r="M62594"/>
    </row>
    <row r="62595" spans="3:13" ht="12.75" customHeight="1">
      <c r="C62595"/>
      <c r="M62595"/>
    </row>
    <row r="62596" spans="3:13" ht="12.75" customHeight="1">
      <c r="C62596"/>
      <c r="M62596"/>
    </row>
    <row r="62597" spans="3:13" ht="12.75" customHeight="1">
      <c r="C62597"/>
      <c r="M62597"/>
    </row>
    <row r="62598" spans="3:13" ht="12.75" customHeight="1">
      <c r="C62598"/>
      <c r="M62598"/>
    </row>
    <row r="62599" spans="3:13" ht="12.75" customHeight="1">
      <c r="C62599"/>
      <c r="M62599"/>
    </row>
    <row r="62600" spans="3:13" ht="12.75" customHeight="1">
      <c r="C62600"/>
      <c r="M62600"/>
    </row>
    <row r="62601" spans="3:13" ht="12.75" customHeight="1">
      <c r="C62601"/>
      <c r="M62601"/>
    </row>
    <row r="62602" spans="3:13" ht="12.75" customHeight="1">
      <c r="C62602"/>
      <c r="M62602"/>
    </row>
    <row r="62603" spans="3:13" ht="12.75" customHeight="1">
      <c r="C62603"/>
      <c r="M62603"/>
    </row>
    <row r="62604" spans="3:13" ht="12.75" customHeight="1">
      <c r="C62604"/>
      <c r="M62604"/>
    </row>
    <row r="62605" spans="3:13" ht="12.75" customHeight="1">
      <c r="C62605"/>
      <c r="M62605"/>
    </row>
    <row r="62606" spans="3:13" ht="12.75" customHeight="1">
      <c r="C62606"/>
      <c r="M62606"/>
    </row>
    <row r="62607" spans="3:13" ht="12.75" customHeight="1">
      <c r="C62607"/>
      <c r="M62607"/>
    </row>
    <row r="62608" spans="3:13" ht="12.75" customHeight="1">
      <c r="C62608"/>
      <c r="M62608"/>
    </row>
    <row r="62609" spans="3:13" ht="12.75" customHeight="1">
      <c r="C62609"/>
      <c r="M62609"/>
    </row>
    <row r="62610" spans="3:13" ht="12.75" customHeight="1">
      <c r="C62610"/>
      <c r="M62610"/>
    </row>
    <row r="62611" spans="3:13" ht="12.75" customHeight="1">
      <c r="C62611"/>
      <c r="M62611"/>
    </row>
    <row r="62612" spans="3:13" ht="12.75" customHeight="1">
      <c r="C62612"/>
      <c r="M62612"/>
    </row>
    <row r="62613" spans="3:13" ht="12.75" customHeight="1">
      <c r="C62613"/>
      <c r="M62613"/>
    </row>
    <row r="62614" spans="3:13" ht="12.75" customHeight="1">
      <c r="C62614"/>
      <c r="M62614"/>
    </row>
    <row r="62615" spans="3:13" ht="12.75" customHeight="1">
      <c r="C62615"/>
      <c r="M62615"/>
    </row>
    <row r="62616" spans="3:13" ht="12.75" customHeight="1">
      <c r="C62616"/>
      <c r="M62616"/>
    </row>
    <row r="62617" spans="3:13" ht="12.75" customHeight="1">
      <c r="C62617"/>
      <c r="M62617"/>
    </row>
    <row r="62618" spans="3:13" ht="12.75" customHeight="1">
      <c r="C62618"/>
      <c r="M62618"/>
    </row>
    <row r="62619" spans="3:13" ht="12.75" customHeight="1">
      <c r="C62619"/>
      <c r="M62619"/>
    </row>
    <row r="62620" spans="3:13" ht="12.75" customHeight="1">
      <c r="C62620"/>
      <c r="M62620"/>
    </row>
    <row r="62621" spans="3:13" ht="12.75" customHeight="1">
      <c r="C62621"/>
      <c r="M62621"/>
    </row>
    <row r="62622" spans="3:13" ht="12.75" customHeight="1">
      <c r="C62622"/>
      <c r="M62622"/>
    </row>
    <row r="62623" spans="3:13" ht="12.75" customHeight="1">
      <c r="C62623"/>
      <c r="M62623"/>
    </row>
    <row r="62624" spans="3:13" ht="12.75" customHeight="1">
      <c r="C62624"/>
      <c r="M62624"/>
    </row>
    <row r="62625" spans="3:13" ht="12.75" customHeight="1">
      <c r="C62625"/>
      <c r="M62625"/>
    </row>
    <row r="62626" spans="3:13" ht="12.75" customHeight="1">
      <c r="C62626"/>
      <c r="M62626"/>
    </row>
    <row r="62627" spans="3:13" ht="12.75" customHeight="1">
      <c r="C62627"/>
      <c r="M62627"/>
    </row>
    <row r="62628" spans="3:13" ht="12.75" customHeight="1">
      <c r="C62628"/>
      <c r="M62628"/>
    </row>
    <row r="62629" spans="3:13" ht="12.75" customHeight="1">
      <c r="C62629"/>
      <c r="M62629"/>
    </row>
    <row r="62630" spans="3:13" ht="12.75" customHeight="1">
      <c r="C62630"/>
      <c r="M62630"/>
    </row>
    <row r="62631" spans="3:13" ht="12.75" customHeight="1">
      <c r="C62631"/>
      <c r="M62631"/>
    </row>
    <row r="62632" spans="3:13" ht="12.75" customHeight="1">
      <c r="C62632"/>
      <c r="M62632"/>
    </row>
    <row r="62633" spans="3:13" ht="12.75" customHeight="1">
      <c r="C62633"/>
      <c r="M62633"/>
    </row>
    <row r="62634" spans="3:13" ht="12.75" customHeight="1">
      <c r="C62634"/>
      <c r="M62634"/>
    </row>
    <row r="62635" spans="3:13" ht="12.75" customHeight="1">
      <c r="C62635"/>
      <c r="M62635"/>
    </row>
    <row r="62636" spans="3:13" ht="12.75" customHeight="1">
      <c r="C62636"/>
      <c r="M62636"/>
    </row>
    <row r="62637" spans="3:13" ht="12.75" customHeight="1">
      <c r="C62637"/>
      <c r="M62637"/>
    </row>
    <row r="62638" spans="3:13" ht="12.75" customHeight="1">
      <c r="C62638"/>
      <c r="M62638"/>
    </row>
    <row r="62639" spans="3:13" ht="12.75" customHeight="1">
      <c r="C62639"/>
      <c r="M62639"/>
    </row>
    <row r="62640" spans="3:13" ht="12.75" customHeight="1">
      <c r="C62640"/>
      <c r="M62640"/>
    </row>
    <row r="62641" spans="3:13" ht="12.75" customHeight="1">
      <c r="C62641"/>
      <c r="M62641"/>
    </row>
    <row r="62642" spans="3:13" ht="12.75" customHeight="1">
      <c r="C62642"/>
      <c r="M62642"/>
    </row>
    <row r="62643" spans="3:13" ht="12.75" customHeight="1">
      <c r="C62643"/>
      <c r="M62643"/>
    </row>
    <row r="62644" spans="3:13" ht="12.75" customHeight="1">
      <c r="C62644"/>
      <c r="M62644"/>
    </row>
    <row r="62645" spans="3:13" ht="12.75" customHeight="1">
      <c r="C62645"/>
      <c r="M62645"/>
    </row>
    <row r="62646" spans="3:13" ht="12.75" customHeight="1">
      <c r="C62646"/>
      <c r="M62646"/>
    </row>
    <row r="62647" spans="3:13" ht="12.75" customHeight="1">
      <c r="C62647"/>
      <c r="M62647"/>
    </row>
    <row r="62648" spans="3:13" ht="12.75" customHeight="1">
      <c r="C62648"/>
      <c r="M62648"/>
    </row>
    <row r="62649" spans="3:13" ht="12.75" customHeight="1">
      <c r="C62649"/>
      <c r="M62649"/>
    </row>
    <row r="62650" spans="3:13" ht="12.75" customHeight="1">
      <c r="C62650"/>
      <c r="M62650"/>
    </row>
    <row r="62651" spans="3:13" ht="12.75" customHeight="1">
      <c r="C62651"/>
      <c r="M62651"/>
    </row>
    <row r="62652" spans="3:13" ht="12.75" customHeight="1">
      <c r="C62652"/>
      <c r="M62652"/>
    </row>
    <row r="62653" spans="3:13" ht="12.75" customHeight="1">
      <c r="C62653"/>
      <c r="M62653"/>
    </row>
    <row r="62654" spans="3:13" ht="12.75" customHeight="1">
      <c r="C62654"/>
      <c r="M62654"/>
    </row>
    <row r="62655" spans="3:13" ht="12.75" customHeight="1">
      <c r="C62655"/>
      <c r="M62655"/>
    </row>
    <row r="62656" spans="3:13" ht="12.75" customHeight="1">
      <c r="C62656"/>
      <c r="M62656"/>
    </row>
    <row r="62657" spans="3:13" ht="12.75" customHeight="1">
      <c r="C62657"/>
      <c r="M62657"/>
    </row>
    <row r="62658" spans="3:13" ht="12.75" customHeight="1">
      <c r="C62658"/>
      <c r="M62658"/>
    </row>
    <row r="62659" spans="3:13" ht="12.75" customHeight="1">
      <c r="C62659"/>
      <c r="M62659"/>
    </row>
    <row r="62660" spans="3:13" ht="12.75" customHeight="1">
      <c r="C62660"/>
      <c r="M62660"/>
    </row>
    <row r="62661" spans="3:13" ht="12.75" customHeight="1">
      <c r="C62661"/>
      <c r="M62661"/>
    </row>
    <row r="62662" spans="3:13" ht="12.75" customHeight="1">
      <c r="C62662"/>
      <c r="M62662"/>
    </row>
    <row r="62663" spans="3:13" ht="12.75" customHeight="1">
      <c r="C62663"/>
      <c r="M62663"/>
    </row>
    <row r="62664" spans="3:13" ht="12.75" customHeight="1">
      <c r="C62664"/>
      <c r="M62664"/>
    </row>
    <row r="62665" spans="3:13" ht="12.75" customHeight="1">
      <c r="C62665"/>
      <c r="M62665"/>
    </row>
    <row r="62666" spans="3:13" ht="12.75" customHeight="1">
      <c r="C62666"/>
      <c r="M62666"/>
    </row>
    <row r="62667" spans="3:13" ht="12.75" customHeight="1">
      <c r="C62667"/>
      <c r="M62667"/>
    </row>
    <row r="62668" spans="3:13" ht="12.75" customHeight="1">
      <c r="C62668"/>
      <c r="M62668"/>
    </row>
    <row r="62669" spans="3:13" ht="12.75" customHeight="1">
      <c r="C62669"/>
      <c r="M62669"/>
    </row>
    <row r="62670" spans="3:13" ht="12.75" customHeight="1">
      <c r="C62670"/>
      <c r="M62670"/>
    </row>
    <row r="62671" spans="3:13" ht="12.75" customHeight="1">
      <c r="C62671"/>
      <c r="M62671"/>
    </row>
    <row r="62672" spans="3:13" ht="12.75" customHeight="1">
      <c r="C62672"/>
      <c r="M62672"/>
    </row>
    <row r="62673" spans="3:13" ht="12.75" customHeight="1">
      <c r="C62673"/>
      <c r="M62673"/>
    </row>
    <row r="62674" spans="3:13" ht="12.75" customHeight="1">
      <c r="C62674"/>
      <c r="M62674"/>
    </row>
    <row r="62675" spans="3:13" ht="12.75" customHeight="1">
      <c r="C62675"/>
      <c r="M62675"/>
    </row>
    <row r="62676" spans="3:13" ht="12.75" customHeight="1">
      <c r="C62676"/>
      <c r="M62676"/>
    </row>
    <row r="62677" spans="3:13" ht="12.75" customHeight="1">
      <c r="C62677"/>
      <c r="M62677"/>
    </row>
    <row r="62678" spans="3:13" ht="12.75" customHeight="1">
      <c r="C62678"/>
      <c r="M62678"/>
    </row>
    <row r="62679" spans="3:13" ht="12.75" customHeight="1">
      <c r="C62679"/>
      <c r="M62679"/>
    </row>
    <row r="62680" spans="3:13" ht="12.75" customHeight="1">
      <c r="C62680"/>
      <c r="M62680"/>
    </row>
    <row r="62681" spans="3:13" ht="12.75" customHeight="1">
      <c r="C62681"/>
      <c r="M62681"/>
    </row>
    <row r="62682" spans="3:13" ht="12.75" customHeight="1">
      <c r="C62682"/>
      <c r="M62682"/>
    </row>
    <row r="62683" spans="3:13" ht="12.75" customHeight="1">
      <c r="C62683"/>
      <c r="M62683"/>
    </row>
    <row r="62684" spans="3:13" ht="12.75" customHeight="1">
      <c r="C62684"/>
      <c r="M62684"/>
    </row>
    <row r="62685" spans="3:13" ht="12.75" customHeight="1">
      <c r="C62685"/>
      <c r="M62685"/>
    </row>
    <row r="62686" spans="3:13" ht="12.75" customHeight="1">
      <c r="C62686"/>
      <c r="M62686"/>
    </row>
    <row r="62687" spans="3:13" ht="12.75" customHeight="1">
      <c r="C62687"/>
      <c r="M62687"/>
    </row>
    <row r="62688" spans="3:13" ht="12.75" customHeight="1">
      <c r="C62688"/>
      <c r="M62688"/>
    </row>
    <row r="62689" spans="3:13" ht="12.75" customHeight="1">
      <c r="C62689"/>
      <c r="M62689"/>
    </row>
    <row r="62690" spans="3:13" ht="12.75" customHeight="1">
      <c r="C62690"/>
      <c r="M62690"/>
    </row>
    <row r="62691" spans="3:13" ht="12.75" customHeight="1">
      <c r="C62691"/>
      <c r="M62691"/>
    </row>
    <row r="62692" spans="3:13" ht="12.75" customHeight="1">
      <c r="C62692"/>
      <c r="M62692"/>
    </row>
    <row r="62693" spans="3:13" ht="12.75" customHeight="1">
      <c r="C62693"/>
      <c r="M62693"/>
    </row>
    <row r="62694" spans="3:13" ht="12.75" customHeight="1">
      <c r="C62694"/>
      <c r="M62694"/>
    </row>
    <row r="62695" spans="3:13" ht="12.75" customHeight="1">
      <c r="C62695"/>
      <c r="M62695"/>
    </row>
    <row r="62696" spans="3:13" ht="12.75" customHeight="1">
      <c r="C62696"/>
      <c r="M62696"/>
    </row>
    <row r="62697" spans="3:13" ht="12.75" customHeight="1">
      <c r="C62697"/>
      <c r="M62697"/>
    </row>
    <row r="62698" spans="3:13" ht="12.75" customHeight="1">
      <c r="C62698"/>
      <c r="M62698"/>
    </row>
    <row r="62699" spans="3:13" ht="12.75" customHeight="1">
      <c r="C62699"/>
      <c r="M62699"/>
    </row>
    <row r="62700" spans="3:13" ht="12.75" customHeight="1">
      <c r="C62700"/>
      <c r="M62700"/>
    </row>
    <row r="62701" spans="3:13" ht="12.75" customHeight="1">
      <c r="C62701"/>
      <c r="M62701"/>
    </row>
    <row r="62702" spans="3:13" ht="12.75" customHeight="1">
      <c r="C62702"/>
      <c r="M62702"/>
    </row>
    <row r="62703" spans="3:13" ht="12.75" customHeight="1">
      <c r="C62703"/>
      <c r="M62703"/>
    </row>
    <row r="62704" spans="3:13" ht="12.75" customHeight="1">
      <c r="C62704"/>
      <c r="M62704"/>
    </row>
    <row r="62705" spans="3:13" ht="12.75" customHeight="1">
      <c r="C62705"/>
      <c r="M62705"/>
    </row>
    <row r="62706" spans="3:13" ht="12.75" customHeight="1">
      <c r="C62706"/>
      <c r="M62706"/>
    </row>
    <row r="62707" spans="3:13" ht="12.75" customHeight="1">
      <c r="C62707"/>
      <c r="M62707"/>
    </row>
    <row r="62708" spans="3:13" ht="12.75" customHeight="1">
      <c r="C62708"/>
      <c r="M62708"/>
    </row>
    <row r="62709" spans="3:13" ht="12.75" customHeight="1">
      <c r="C62709"/>
      <c r="M62709"/>
    </row>
    <row r="62710" spans="3:13" ht="12.75" customHeight="1">
      <c r="C62710"/>
      <c r="M62710"/>
    </row>
    <row r="62711" spans="3:13" ht="12.75" customHeight="1">
      <c r="C62711"/>
      <c r="M62711"/>
    </row>
    <row r="62712" spans="3:13" ht="12.75" customHeight="1">
      <c r="C62712"/>
      <c r="M62712"/>
    </row>
    <row r="62713" spans="3:13" ht="12.75" customHeight="1">
      <c r="C62713"/>
      <c r="M62713"/>
    </row>
    <row r="62714" spans="3:13" ht="12.75" customHeight="1">
      <c r="C62714"/>
      <c r="M62714"/>
    </row>
    <row r="62715" spans="3:13" ht="12.75" customHeight="1">
      <c r="C62715"/>
      <c r="M62715"/>
    </row>
    <row r="62716" spans="3:13" ht="12.75" customHeight="1">
      <c r="C62716"/>
      <c r="M62716"/>
    </row>
    <row r="62717" spans="3:13" ht="12.75" customHeight="1">
      <c r="C62717"/>
      <c r="M62717"/>
    </row>
    <row r="62718" spans="3:13" ht="12.75" customHeight="1">
      <c r="C62718"/>
      <c r="M62718"/>
    </row>
    <row r="62719" spans="3:13" ht="12.75" customHeight="1">
      <c r="C62719"/>
      <c r="M62719"/>
    </row>
    <row r="62720" spans="3:13" ht="12.75" customHeight="1">
      <c r="C62720"/>
      <c r="M62720"/>
    </row>
    <row r="62721" spans="3:13" ht="12.75" customHeight="1">
      <c r="C62721"/>
      <c r="M62721"/>
    </row>
    <row r="62722" spans="3:13" ht="12.75" customHeight="1">
      <c r="C62722"/>
      <c r="M62722"/>
    </row>
    <row r="62723" spans="3:13" ht="12.75" customHeight="1">
      <c r="C62723"/>
      <c r="M62723"/>
    </row>
    <row r="62724" spans="3:13" ht="12.75" customHeight="1">
      <c r="C62724"/>
      <c r="M62724"/>
    </row>
    <row r="62725" spans="3:13" ht="12.75" customHeight="1">
      <c r="C62725"/>
      <c r="M62725"/>
    </row>
    <row r="62726" spans="3:13" ht="12.75" customHeight="1">
      <c r="C62726"/>
      <c r="M62726"/>
    </row>
    <row r="62727" spans="3:13" ht="12.75" customHeight="1">
      <c r="C62727"/>
      <c r="M62727"/>
    </row>
    <row r="62728" spans="3:13" ht="12.75" customHeight="1">
      <c r="C62728"/>
      <c r="M62728"/>
    </row>
    <row r="62729" spans="3:13" ht="12.75" customHeight="1">
      <c r="C62729"/>
      <c r="M62729"/>
    </row>
    <row r="62730" spans="3:13" ht="12.75" customHeight="1">
      <c r="C62730"/>
      <c r="M62730"/>
    </row>
    <row r="62731" spans="3:13" ht="12.75" customHeight="1">
      <c r="C62731"/>
      <c r="M62731"/>
    </row>
    <row r="62732" spans="3:13" ht="12.75" customHeight="1">
      <c r="C62732"/>
      <c r="M62732"/>
    </row>
    <row r="62733" spans="3:13" ht="12.75" customHeight="1">
      <c r="C62733"/>
      <c r="M62733"/>
    </row>
    <row r="62734" spans="3:13" ht="12.75" customHeight="1">
      <c r="C62734"/>
      <c r="M62734"/>
    </row>
    <row r="62735" spans="3:13" ht="12.75" customHeight="1">
      <c r="C62735"/>
      <c r="M62735"/>
    </row>
    <row r="62736" spans="3:13" ht="12.75" customHeight="1">
      <c r="C62736"/>
      <c r="M62736"/>
    </row>
    <row r="62737" spans="3:13" ht="12.75" customHeight="1">
      <c r="C62737"/>
      <c r="M62737"/>
    </row>
    <row r="62738" spans="3:13" ht="12.75" customHeight="1">
      <c r="C62738"/>
      <c r="M62738"/>
    </row>
    <row r="62739" spans="3:13" ht="12.75" customHeight="1">
      <c r="C62739"/>
      <c r="M62739"/>
    </row>
    <row r="62740" spans="3:13" ht="12.75" customHeight="1">
      <c r="C62740"/>
      <c r="M62740"/>
    </row>
    <row r="62741" spans="3:13" ht="12.75" customHeight="1">
      <c r="C62741"/>
      <c r="M62741"/>
    </row>
    <row r="62742" spans="3:13" ht="12.75" customHeight="1">
      <c r="C62742"/>
      <c r="M62742"/>
    </row>
    <row r="62743" spans="3:13" ht="12.75" customHeight="1">
      <c r="C62743"/>
      <c r="M62743"/>
    </row>
    <row r="62744" spans="3:13" ht="12.75" customHeight="1">
      <c r="C62744"/>
      <c r="M62744"/>
    </row>
    <row r="62745" spans="3:13" ht="12.75" customHeight="1">
      <c r="C62745"/>
      <c r="M62745"/>
    </row>
    <row r="62746" spans="3:13" ht="12.75" customHeight="1">
      <c r="C62746"/>
      <c r="M62746"/>
    </row>
    <row r="62747" spans="3:13" ht="12.75" customHeight="1">
      <c r="C62747"/>
      <c r="M62747"/>
    </row>
    <row r="62748" spans="3:13" ht="12.75" customHeight="1">
      <c r="C62748"/>
      <c r="M62748"/>
    </row>
    <row r="62749" spans="3:13" ht="12.75" customHeight="1">
      <c r="C62749"/>
      <c r="M62749"/>
    </row>
    <row r="62750" spans="3:13" ht="12.75" customHeight="1">
      <c r="C62750"/>
      <c r="M62750"/>
    </row>
    <row r="62751" spans="3:13" ht="12.75" customHeight="1">
      <c r="C62751"/>
      <c r="M62751"/>
    </row>
    <row r="62752" spans="3:13" ht="12.75" customHeight="1">
      <c r="C62752"/>
      <c r="M62752"/>
    </row>
    <row r="62753" spans="3:13" ht="12.75" customHeight="1">
      <c r="C62753"/>
      <c r="M62753"/>
    </row>
    <row r="62754" spans="3:13" ht="12.75" customHeight="1">
      <c r="C62754"/>
      <c r="M62754"/>
    </row>
    <row r="62755" spans="3:13" ht="12.75" customHeight="1">
      <c r="C62755"/>
      <c r="M62755"/>
    </row>
    <row r="62756" spans="3:13" ht="12.75" customHeight="1">
      <c r="C62756"/>
      <c r="M62756"/>
    </row>
    <row r="62757" spans="3:13" ht="12.75" customHeight="1">
      <c r="C62757"/>
      <c r="M62757"/>
    </row>
    <row r="62758" spans="3:13" ht="12.75" customHeight="1">
      <c r="C62758"/>
      <c r="M62758"/>
    </row>
    <row r="62759" spans="3:13" ht="12.75" customHeight="1">
      <c r="C62759"/>
      <c r="M62759"/>
    </row>
    <row r="62760" spans="3:13" ht="12.75" customHeight="1">
      <c r="C62760"/>
      <c r="M62760"/>
    </row>
    <row r="62761" spans="3:13" ht="12.75" customHeight="1">
      <c r="C62761"/>
      <c r="M62761"/>
    </row>
    <row r="62762" spans="3:13" ht="12.75" customHeight="1">
      <c r="C62762"/>
      <c r="M62762"/>
    </row>
    <row r="62763" spans="3:13" ht="12.75" customHeight="1">
      <c r="C62763"/>
      <c r="M62763"/>
    </row>
    <row r="62764" spans="3:13" ht="12.75" customHeight="1">
      <c r="C62764"/>
      <c r="M62764"/>
    </row>
    <row r="62765" spans="3:13" ht="12.75" customHeight="1">
      <c r="C62765"/>
      <c r="M62765"/>
    </row>
    <row r="62766" spans="3:13" ht="12.75" customHeight="1">
      <c r="C62766"/>
      <c r="M62766"/>
    </row>
    <row r="62767" spans="3:13" ht="12.75" customHeight="1">
      <c r="C62767"/>
      <c r="M62767"/>
    </row>
    <row r="62768" spans="3:13" ht="12.75" customHeight="1">
      <c r="C62768"/>
      <c r="M62768"/>
    </row>
    <row r="62769" spans="3:13" ht="12.75" customHeight="1">
      <c r="C62769"/>
      <c r="M62769"/>
    </row>
    <row r="62770" spans="3:13" ht="12.75" customHeight="1">
      <c r="C62770"/>
      <c r="M62770"/>
    </row>
    <row r="62771" spans="3:13" ht="12.75" customHeight="1">
      <c r="C62771"/>
      <c r="M62771"/>
    </row>
    <row r="62772" spans="3:13" ht="12.75" customHeight="1">
      <c r="C62772"/>
      <c r="M62772"/>
    </row>
    <row r="62773" spans="3:13" ht="12.75" customHeight="1">
      <c r="C62773"/>
      <c r="M62773"/>
    </row>
    <row r="62774" spans="3:13" ht="12.75" customHeight="1">
      <c r="C62774"/>
      <c r="M62774"/>
    </row>
    <row r="62775" spans="3:13" ht="12.75" customHeight="1">
      <c r="C62775"/>
      <c r="M62775"/>
    </row>
    <row r="62776" spans="3:13" ht="12.75" customHeight="1">
      <c r="C62776"/>
      <c r="M62776"/>
    </row>
    <row r="62777" spans="3:13" ht="12.75" customHeight="1">
      <c r="C62777"/>
      <c r="M62777"/>
    </row>
    <row r="62778" spans="3:13" ht="12.75" customHeight="1">
      <c r="C62778"/>
      <c r="M62778"/>
    </row>
    <row r="62779" spans="3:13" ht="12.75" customHeight="1">
      <c r="C62779"/>
      <c r="M62779"/>
    </row>
    <row r="62780" spans="3:13" ht="12.75" customHeight="1">
      <c r="C62780"/>
      <c r="M62780"/>
    </row>
    <row r="62781" spans="3:13" ht="12.75" customHeight="1">
      <c r="C62781"/>
      <c r="M62781"/>
    </row>
    <row r="62782" spans="3:13" ht="12.75" customHeight="1">
      <c r="C62782"/>
      <c r="M62782"/>
    </row>
    <row r="62783" spans="3:13" ht="12.75" customHeight="1">
      <c r="C62783"/>
      <c r="M62783"/>
    </row>
    <row r="62784" spans="3:13" ht="12.75" customHeight="1">
      <c r="C62784"/>
      <c r="M62784"/>
    </row>
    <row r="62785" spans="3:13" ht="12.75" customHeight="1">
      <c r="C62785"/>
      <c r="M62785"/>
    </row>
    <row r="62786" spans="3:13" ht="12.75" customHeight="1">
      <c r="C62786"/>
      <c r="M62786"/>
    </row>
    <row r="62787" spans="3:13" ht="12.75" customHeight="1">
      <c r="C62787"/>
      <c r="M62787"/>
    </row>
    <row r="62788" spans="3:13" ht="12.75" customHeight="1">
      <c r="C62788"/>
      <c r="M62788"/>
    </row>
    <row r="62789" spans="3:13" ht="12.75" customHeight="1">
      <c r="C62789"/>
      <c r="M62789"/>
    </row>
    <row r="62790" spans="3:13" ht="12.75" customHeight="1">
      <c r="C62790"/>
      <c r="M62790"/>
    </row>
    <row r="62791" spans="3:13" ht="12.75" customHeight="1">
      <c r="C62791"/>
      <c r="M62791"/>
    </row>
    <row r="62792" spans="3:13" ht="12.75" customHeight="1">
      <c r="C62792"/>
      <c r="M62792"/>
    </row>
    <row r="62793" spans="3:13" ht="12.75" customHeight="1">
      <c r="C62793"/>
      <c r="M62793"/>
    </row>
    <row r="62794" spans="3:13" ht="12.75" customHeight="1">
      <c r="C62794"/>
      <c r="M62794"/>
    </row>
    <row r="62795" spans="3:13" ht="12.75" customHeight="1">
      <c r="C62795"/>
      <c r="M62795"/>
    </row>
    <row r="62796" spans="3:13" ht="12.75" customHeight="1">
      <c r="C62796"/>
      <c r="M62796"/>
    </row>
    <row r="62797" spans="3:13" ht="12.75" customHeight="1">
      <c r="C62797"/>
      <c r="M62797"/>
    </row>
    <row r="62798" spans="3:13" ht="12.75" customHeight="1">
      <c r="C62798"/>
      <c r="M62798"/>
    </row>
    <row r="62799" spans="3:13" ht="12.75" customHeight="1">
      <c r="C62799"/>
      <c r="M62799"/>
    </row>
    <row r="62800" spans="3:13" ht="12.75" customHeight="1">
      <c r="C62800"/>
      <c r="M62800"/>
    </row>
    <row r="62801" spans="3:13" ht="12.75" customHeight="1">
      <c r="C62801"/>
      <c r="M62801"/>
    </row>
    <row r="62802" spans="3:13" ht="12.75" customHeight="1">
      <c r="C62802"/>
      <c r="M62802"/>
    </row>
    <row r="62803" spans="3:13" ht="12.75" customHeight="1">
      <c r="C62803"/>
      <c r="M62803"/>
    </row>
    <row r="62804" spans="3:13" ht="12.75" customHeight="1">
      <c r="C62804"/>
      <c r="M62804"/>
    </row>
    <row r="62805" spans="3:13" ht="12.75" customHeight="1">
      <c r="C62805"/>
      <c r="M62805"/>
    </row>
    <row r="62806" spans="3:13" ht="12.75" customHeight="1">
      <c r="C62806"/>
      <c r="M62806"/>
    </row>
    <row r="62807" spans="3:13" ht="12.75" customHeight="1">
      <c r="C62807"/>
      <c r="M62807"/>
    </row>
    <row r="62808" spans="3:13" ht="12.75" customHeight="1">
      <c r="C62808"/>
      <c r="M62808"/>
    </row>
    <row r="62809" spans="3:13" ht="12.75" customHeight="1">
      <c r="C62809"/>
      <c r="M62809"/>
    </row>
    <row r="62810" spans="3:13" ht="12.75" customHeight="1">
      <c r="C62810"/>
      <c r="M62810"/>
    </row>
    <row r="62811" spans="3:13" ht="12.75" customHeight="1">
      <c r="C62811"/>
      <c r="M62811"/>
    </row>
    <row r="62812" spans="3:13" ht="12.75" customHeight="1">
      <c r="C62812"/>
      <c r="M62812"/>
    </row>
    <row r="62813" spans="3:13" ht="12.75" customHeight="1">
      <c r="C62813"/>
      <c r="M62813"/>
    </row>
    <row r="62814" spans="3:13" ht="12.75" customHeight="1">
      <c r="C62814"/>
      <c r="M62814"/>
    </row>
    <row r="62815" spans="3:13" ht="12.75" customHeight="1">
      <c r="C62815"/>
      <c r="M62815"/>
    </row>
    <row r="62816" spans="3:13" ht="12.75" customHeight="1">
      <c r="C62816"/>
      <c r="M62816"/>
    </row>
    <row r="62817" spans="3:13" ht="12.75" customHeight="1">
      <c r="C62817"/>
      <c r="M62817"/>
    </row>
    <row r="62818" spans="3:13" ht="12.75" customHeight="1">
      <c r="C62818"/>
      <c r="M62818"/>
    </row>
    <row r="62819" spans="3:13" ht="12.75" customHeight="1">
      <c r="C62819"/>
      <c r="M62819"/>
    </row>
    <row r="62820" spans="3:13" ht="12.75" customHeight="1">
      <c r="C62820"/>
      <c r="M62820"/>
    </row>
    <row r="62821" spans="3:13" ht="12.75" customHeight="1">
      <c r="C62821"/>
      <c r="M62821"/>
    </row>
    <row r="62822" spans="3:13" ht="12.75" customHeight="1">
      <c r="C62822"/>
      <c r="M62822"/>
    </row>
    <row r="62823" spans="3:13" ht="12.75" customHeight="1">
      <c r="C62823"/>
      <c r="M62823"/>
    </row>
    <row r="62824" spans="3:13" ht="12.75" customHeight="1">
      <c r="C62824"/>
      <c r="M62824"/>
    </row>
    <row r="62825" spans="3:13" ht="12.75" customHeight="1">
      <c r="C62825"/>
      <c r="M62825"/>
    </row>
    <row r="62826" spans="3:13" ht="12.75" customHeight="1">
      <c r="C62826"/>
      <c r="M62826"/>
    </row>
    <row r="62827" spans="3:13" ht="12.75" customHeight="1">
      <c r="C62827"/>
      <c r="M62827"/>
    </row>
    <row r="62828" spans="3:13" ht="12.75" customHeight="1">
      <c r="C62828"/>
      <c r="M62828"/>
    </row>
    <row r="62829" spans="3:13" ht="12.75" customHeight="1">
      <c r="C62829"/>
      <c r="M62829"/>
    </row>
    <row r="62830" spans="3:13" ht="12.75" customHeight="1">
      <c r="C62830"/>
      <c r="M62830"/>
    </row>
    <row r="62831" spans="3:13" ht="12.75" customHeight="1">
      <c r="C62831"/>
      <c r="M62831"/>
    </row>
    <row r="62832" spans="3:13" ht="12.75" customHeight="1">
      <c r="C62832"/>
      <c r="M62832"/>
    </row>
    <row r="62833" spans="3:13" ht="12.75" customHeight="1">
      <c r="C62833"/>
      <c r="M62833"/>
    </row>
    <row r="62834" spans="3:13" ht="12.75" customHeight="1">
      <c r="C62834"/>
      <c r="M62834"/>
    </row>
    <row r="62835" spans="3:13" ht="12.75" customHeight="1">
      <c r="C62835"/>
      <c r="M62835"/>
    </row>
    <row r="62836" spans="3:13" ht="12.75" customHeight="1">
      <c r="C62836"/>
      <c r="M62836"/>
    </row>
    <row r="62837" spans="3:13" ht="12.75" customHeight="1">
      <c r="C62837"/>
      <c r="M62837"/>
    </row>
    <row r="62838" spans="3:13" ht="12.75" customHeight="1">
      <c r="C62838"/>
      <c r="M62838"/>
    </row>
    <row r="62839" spans="3:13" ht="12.75" customHeight="1">
      <c r="C62839"/>
      <c r="M62839"/>
    </row>
    <row r="62840" spans="3:13" ht="12.75" customHeight="1">
      <c r="C62840"/>
      <c r="M62840"/>
    </row>
    <row r="62841" spans="3:13" ht="12.75" customHeight="1">
      <c r="C62841"/>
      <c r="M62841"/>
    </row>
    <row r="62842" spans="3:13" ht="12.75" customHeight="1">
      <c r="C62842"/>
      <c r="M62842"/>
    </row>
    <row r="62843" spans="3:13" ht="12.75" customHeight="1">
      <c r="C62843"/>
      <c r="M62843"/>
    </row>
    <row r="62844" spans="3:13" ht="12.75" customHeight="1">
      <c r="C62844"/>
      <c r="M62844"/>
    </row>
    <row r="62845" spans="3:13" ht="12.75" customHeight="1">
      <c r="C62845"/>
      <c r="M62845"/>
    </row>
    <row r="62846" spans="3:13" ht="12.75" customHeight="1">
      <c r="C62846"/>
      <c r="M62846"/>
    </row>
    <row r="62847" spans="3:13" ht="12.75" customHeight="1">
      <c r="C62847"/>
      <c r="M62847"/>
    </row>
    <row r="62848" spans="3:13" ht="12.75" customHeight="1">
      <c r="C62848"/>
      <c r="M62848"/>
    </row>
    <row r="62849" spans="3:13" ht="12.75" customHeight="1">
      <c r="C62849"/>
      <c r="M62849"/>
    </row>
    <row r="62850" spans="3:13" ht="12.75" customHeight="1">
      <c r="C62850"/>
      <c r="M62850"/>
    </row>
    <row r="62851" spans="3:13" ht="12.75" customHeight="1">
      <c r="C62851"/>
      <c r="M62851"/>
    </row>
    <row r="62852" spans="3:13" ht="12.75" customHeight="1">
      <c r="C62852"/>
      <c r="M62852"/>
    </row>
    <row r="62853" spans="3:13" ht="12.75" customHeight="1">
      <c r="C62853"/>
      <c r="M62853"/>
    </row>
    <row r="62854" spans="3:13" ht="12.75" customHeight="1">
      <c r="C62854"/>
      <c r="M62854"/>
    </row>
    <row r="62855" spans="3:13" ht="12.75" customHeight="1">
      <c r="C62855"/>
      <c r="M62855"/>
    </row>
    <row r="62856" spans="3:13" ht="12.75" customHeight="1">
      <c r="C62856"/>
      <c r="M62856"/>
    </row>
    <row r="62857" spans="3:13" ht="12.75" customHeight="1">
      <c r="C62857"/>
      <c r="M62857"/>
    </row>
    <row r="62858" spans="3:13" ht="12.75" customHeight="1">
      <c r="C62858"/>
      <c r="M62858"/>
    </row>
    <row r="62859" spans="3:13" ht="12.75" customHeight="1">
      <c r="C62859"/>
      <c r="M62859"/>
    </row>
    <row r="62860" spans="3:13" ht="12.75" customHeight="1">
      <c r="C62860"/>
      <c r="M62860"/>
    </row>
    <row r="62861" spans="3:13" ht="12.75" customHeight="1">
      <c r="C62861"/>
      <c r="M62861"/>
    </row>
    <row r="62862" spans="3:13" ht="12.75" customHeight="1">
      <c r="C62862"/>
      <c r="M62862"/>
    </row>
    <row r="62863" spans="3:13" ht="12.75" customHeight="1">
      <c r="C62863"/>
      <c r="M62863"/>
    </row>
    <row r="62864" spans="3:13" ht="12.75" customHeight="1">
      <c r="C62864"/>
      <c r="M62864"/>
    </row>
    <row r="62865" spans="3:13" ht="12.75" customHeight="1">
      <c r="C62865"/>
      <c r="M62865"/>
    </row>
    <row r="62866" spans="3:13" ht="12.75" customHeight="1">
      <c r="C62866"/>
      <c r="M62866"/>
    </row>
    <row r="62867" spans="3:13" ht="12.75" customHeight="1">
      <c r="C62867"/>
      <c r="M62867"/>
    </row>
    <row r="62868" spans="3:13" ht="12.75" customHeight="1">
      <c r="C62868"/>
      <c r="M62868"/>
    </row>
    <row r="62869" spans="3:13" ht="12.75" customHeight="1">
      <c r="C62869"/>
      <c r="M62869"/>
    </row>
    <row r="62870" spans="3:13" ht="12.75" customHeight="1">
      <c r="C62870"/>
      <c r="M62870"/>
    </row>
    <row r="62871" spans="3:13" ht="12.75" customHeight="1">
      <c r="C62871"/>
      <c r="M62871"/>
    </row>
    <row r="62872" spans="3:13" ht="12.75" customHeight="1">
      <c r="C62872"/>
      <c r="M62872"/>
    </row>
    <row r="62873" spans="3:13" ht="12.75" customHeight="1">
      <c r="C62873"/>
      <c r="M62873"/>
    </row>
    <row r="62874" spans="3:13" ht="12.75" customHeight="1">
      <c r="C62874"/>
      <c r="M62874"/>
    </row>
    <row r="62875" spans="3:13" ht="12.75" customHeight="1">
      <c r="C62875"/>
      <c r="M62875"/>
    </row>
    <row r="62876" spans="3:13" ht="12.75" customHeight="1">
      <c r="C62876"/>
      <c r="M62876"/>
    </row>
    <row r="62877" spans="3:13" ht="12.75" customHeight="1">
      <c r="C62877"/>
      <c r="M62877"/>
    </row>
    <row r="62878" spans="3:13" ht="12.75" customHeight="1">
      <c r="C62878"/>
      <c r="M62878"/>
    </row>
    <row r="62879" spans="3:13" ht="12.75" customHeight="1">
      <c r="C62879"/>
      <c r="M62879"/>
    </row>
    <row r="62880" spans="3:13" ht="12.75" customHeight="1">
      <c r="C62880"/>
      <c r="M62880"/>
    </row>
    <row r="62881" spans="3:13" ht="12.75" customHeight="1">
      <c r="C62881"/>
      <c r="M62881"/>
    </row>
    <row r="62882" spans="3:13" ht="12.75" customHeight="1">
      <c r="C62882"/>
      <c r="M62882"/>
    </row>
    <row r="62883" spans="3:13" ht="12.75" customHeight="1">
      <c r="C62883"/>
      <c r="M62883"/>
    </row>
    <row r="62884" spans="3:13" ht="12.75" customHeight="1">
      <c r="C62884"/>
      <c r="M62884"/>
    </row>
    <row r="62885" spans="3:13" ht="12.75" customHeight="1">
      <c r="C62885"/>
      <c r="M62885"/>
    </row>
    <row r="62886" spans="3:13" ht="12.75" customHeight="1">
      <c r="C62886"/>
      <c r="M62886"/>
    </row>
    <row r="62887" spans="3:13" ht="12.75" customHeight="1">
      <c r="C62887"/>
      <c r="M62887"/>
    </row>
    <row r="62888" spans="3:13" ht="12.75" customHeight="1">
      <c r="C62888"/>
      <c r="M62888"/>
    </row>
    <row r="62889" spans="3:13" ht="12.75" customHeight="1">
      <c r="C62889"/>
      <c r="M62889"/>
    </row>
    <row r="62890" spans="3:13" ht="12.75" customHeight="1">
      <c r="C62890"/>
      <c r="M62890"/>
    </row>
    <row r="62891" spans="3:13" ht="12.75" customHeight="1">
      <c r="C62891"/>
      <c r="M62891"/>
    </row>
    <row r="62892" spans="3:13" ht="12.75" customHeight="1">
      <c r="C62892"/>
      <c r="M62892"/>
    </row>
    <row r="62893" spans="3:13" ht="12.75" customHeight="1">
      <c r="C62893"/>
      <c r="M62893"/>
    </row>
    <row r="62894" spans="3:13" ht="12.75" customHeight="1">
      <c r="C62894"/>
      <c r="M62894"/>
    </row>
    <row r="62895" spans="3:13" ht="12.75" customHeight="1">
      <c r="C62895"/>
      <c r="M62895"/>
    </row>
    <row r="62896" spans="3:13" ht="12.75" customHeight="1">
      <c r="C62896"/>
      <c r="M62896"/>
    </row>
    <row r="62897" spans="3:13" ht="12.75" customHeight="1">
      <c r="C62897"/>
      <c r="M62897"/>
    </row>
    <row r="62898" spans="3:13" ht="12.75" customHeight="1">
      <c r="C62898"/>
      <c r="M62898"/>
    </row>
    <row r="62899" spans="3:13" ht="12.75" customHeight="1">
      <c r="C62899"/>
      <c r="M62899"/>
    </row>
    <row r="62900" spans="3:13" ht="12.75" customHeight="1">
      <c r="C62900"/>
      <c r="M62900"/>
    </row>
    <row r="62901" spans="3:13" ht="12.75" customHeight="1">
      <c r="C62901"/>
      <c r="M62901"/>
    </row>
    <row r="62902" spans="3:13" ht="12.75" customHeight="1">
      <c r="C62902"/>
      <c r="M62902"/>
    </row>
    <row r="62903" spans="3:13" ht="12.75" customHeight="1">
      <c r="C62903"/>
      <c r="M62903"/>
    </row>
    <row r="62904" spans="3:13" ht="12.75" customHeight="1">
      <c r="C62904"/>
      <c r="M62904"/>
    </row>
    <row r="62905" spans="3:13" ht="12.75" customHeight="1">
      <c r="C62905"/>
      <c r="M62905"/>
    </row>
    <row r="62906" spans="3:13" ht="12.75" customHeight="1">
      <c r="C62906"/>
      <c r="M62906"/>
    </row>
    <row r="62907" spans="3:13" ht="12.75" customHeight="1">
      <c r="C62907"/>
      <c r="M62907"/>
    </row>
    <row r="62908" spans="3:13" ht="12.75" customHeight="1">
      <c r="C62908"/>
      <c r="M62908"/>
    </row>
    <row r="62909" spans="3:13" ht="12.75" customHeight="1">
      <c r="C62909"/>
      <c r="M62909"/>
    </row>
    <row r="62910" spans="3:13" ht="12.75" customHeight="1">
      <c r="C62910"/>
      <c r="M62910"/>
    </row>
    <row r="62911" spans="3:13" ht="12.75" customHeight="1">
      <c r="C62911"/>
      <c r="M62911"/>
    </row>
    <row r="62912" spans="3:13" ht="12.75" customHeight="1">
      <c r="C62912"/>
      <c r="M62912"/>
    </row>
    <row r="62913" spans="3:13" ht="12.75" customHeight="1">
      <c r="C62913"/>
      <c r="M62913"/>
    </row>
    <row r="62914" spans="3:13" ht="12.75" customHeight="1">
      <c r="C62914"/>
      <c r="M62914"/>
    </row>
    <row r="62915" spans="3:13" ht="12.75" customHeight="1">
      <c r="C62915"/>
      <c r="M62915"/>
    </row>
    <row r="62916" spans="3:13" ht="12.75" customHeight="1">
      <c r="C62916"/>
      <c r="M62916"/>
    </row>
    <row r="62917" spans="3:13" ht="12.75" customHeight="1">
      <c r="C62917"/>
      <c r="M62917"/>
    </row>
    <row r="62918" spans="3:13" ht="12.75" customHeight="1">
      <c r="C62918"/>
      <c r="M62918"/>
    </row>
    <row r="62919" spans="3:13" ht="12.75" customHeight="1">
      <c r="C62919"/>
      <c r="M62919"/>
    </row>
    <row r="62920" spans="3:13" ht="12.75" customHeight="1">
      <c r="C62920"/>
      <c r="M62920"/>
    </row>
    <row r="62921" spans="3:13" ht="12.75" customHeight="1">
      <c r="C62921"/>
      <c r="M62921"/>
    </row>
    <row r="62922" spans="3:13" ht="12.75" customHeight="1">
      <c r="C62922"/>
      <c r="M62922"/>
    </row>
    <row r="62923" spans="3:13" ht="12.75" customHeight="1">
      <c r="C62923"/>
      <c r="M62923"/>
    </row>
    <row r="62924" spans="3:13" ht="12.75" customHeight="1">
      <c r="C62924"/>
      <c r="M62924"/>
    </row>
    <row r="62925" spans="3:13" ht="12.75" customHeight="1">
      <c r="C62925"/>
      <c r="M62925"/>
    </row>
    <row r="62926" spans="3:13" ht="12.75" customHeight="1">
      <c r="C62926"/>
      <c r="M62926"/>
    </row>
    <row r="62927" spans="3:13" ht="12.75" customHeight="1">
      <c r="C62927"/>
      <c r="M62927"/>
    </row>
    <row r="62928" spans="3:13" ht="12.75" customHeight="1">
      <c r="C62928"/>
      <c r="M62928"/>
    </row>
    <row r="62929" spans="3:13" ht="12.75" customHeight="1">
      <c r="C62929"/>
      <c r="M62929"/>
    </row>
    <row r="62930" spans="3:13" ht="12.75" customHeight="1">
      <c r="C62930"/>
      <c r="M62930"/>
    </row>
    <row r="62931" spans="3:13" ht="12.75" customHeight="1">
      <c r="C62931"/>
      <c r="M62931"/>
    </row>
    <row r="62932" spans="3:13" ht="12.75" customHeight="1">
      <c r="C62932"/>
      <c r="M62932"/>
    </row>
    <row r="62933" spans="3:13" ht="12.75" customHeight="1">
      <c r="C62933"/>
      <c r="M62933"/>
    </row>
    <row r="62934" spans="3:13" ht="12.75" customHeight="1">
      <c r="C62934"/>
      <c r="M62934"/>
    </row>
    <row r="62935" spans="3:13" ht="12.75" customHeight="1">
      <c r="C62935"/>
      <c r="M62935"/>
    </row>
    <row r="62936" spans="3:13" ht="12.75" customHeight="1">
      <c r="C62936"/>
      <c r="M62936"/>
    </row>
    <row r="62937" spans="3:13" ht="12.75" customHeight="1">
      <c r="C62937"/>
      <c r="M62937"/>
    </row>
    <row r="62938" spans="3:13" ht="12.75" customHeight="1">
      <c r="C62938"/>
      <c r="M62938"/>
    </row>
    <row r="62939" spans="3:13" ht="12.75" customHeight="1">
      <c r="C62939"/>
      <c r="M62939"/>
    </row>
    <row r="62940" spans="3:13" ht="12.75" customHeight="1">
      <c r="C62940"/>
      <c r="M62940"/>
    </row>
    <row r="62941" spans="3:13" ht="12.75" customHeight="1">
      <c r="C62941"/>
      <c r="M62941"/>
    </row>
    <row r="62942" spans="3:13" ht="12.75" customHeight="1">
      <c r="C62942"/>
      <c r="M62942"/>
    </row>
    <row r="62943" spans="3:13" ht="12.75" customHeight="1">
      <c r="C62943"/>
      <c r="M62943"/>
    </row>
    <row r="62944" spans="3:13" ht="12.75" customHeight="1">
      <c r="C62944"/>
      <c r="M62944"/>
    </row>
    <row r="62945" spans="3:13" ht="12.75" customHeight="1">
      <c r="C62945"/>
      <c r="M62945"/>
    </row>
    <row r="62946" spans="3:13" ht="12.75" customHeight="1">
      <c r="C62946"/>
      <c r="M62946"/>
    </row>
    <row r="62947" spans="3:13" ht="12.75" customHeight="1">
      <c r="C62947"/>
      <c r="M62947"/>
    </row>
    <row r="62948" spans="3:13" ht="12.75" customHeight="1">
      <c r="C62948"/>
      <c r="M62948"/>
    </row>
    <row r="62949" spans="3:13" ht="12.75" customHeight="1">
      <c r="C62949"/>
      <c r="M62949"/>
    </row>
    <row r="62950" spans="3:13" ht="12.75" customHeight="1">
      <c r="C62950"/>
      <c r="M62950"/>
    </row>
    <row r="62951" spans="3:13" ht="12.75" customHeight="1">
      <c r="C62951"/>
      <c r="M62951"/>
    </row>
    <row r="62952" spans="3:13" ht="12.75" customHeight="1">
      <c r="C62952"/>
      <c r="M62952"/>
    </row>
    <row r="62953" spans="3:13" ht="12.75" customHeight="1">
      <c r="C62953"/>
      <c r="M62953"/>
    </row>
    <row r="62954" spans="3:13" ht="12.75" customHeight="1">
      <c r="C62954"/>
      <c r="M62954"/>
    </row>
    <row r="62955" spans="3:13" ht="12.75" customHeight="1">
      <c r="C62955"/>
      <c r="M62955"/>
    </row>
    <row r="62956" spans="3:13" ht="12.75" customHeight="1">
      <c r="C62956"/>
      <c r="M62956"/>
    </row>
    <row r="62957" spans="3:13" ht="12.75" customHeight="1">
      <c r="C62957"/>
      <c r="M62957"/>
    </row>
    <row r="62958" spans="3:13" ht="12.75" customHeight="1">
      <c r="C62958"/>
      <c r="M62958"/>
    </row>
    <row r="62959" spans="3:13" ht="12.75" customHeight="1">
      <c r="C62959"/>
      <c r="M62959"/>
    </row>
    <row r="62960" spans="3:13" ht="12.75" customHeight="1">
      <c r="C62960"/>
      <c r="M62960"/>
    </row>
    <row r="62961" spans="3:13" ht="12.75" customHeight="1">
      <c r="C62961"/>
      <c r="M62961"/>
    </row>
    <row r="62962" spans="3:13" ht="12.75" customHeight="1">
      <c r="C62962"/>
      <c r="M62962"/>
    </row>
    <row r="62963" spans="3:13" ht="12.75" customHeight="1">
      <c r="C62963"/>
      <c r="M62963"/>
    </row>
    <row r="62964" spans="3:13" ht="12.75" customHeight="1">
      <c r="C62964"/>
      <c r="M62964"/>
    </row>
    <row r="62965" spans="3:13" ht="12.75" customHeight="1">
      <c r="C62965"/>
      <c r="M62965"/>
    </row>
    <row r="62966" spans="3:13" ht="12.75" customHeight="1">
      <c r="C62966"/>
      <c r="M62966"/>
    </row>
    <row r="62967" spans="3:13" ht="12.75" customHeight="1">
      <c r="C62967"/>
      <c r="M62967"/>
    </row>
    <row r="62968" spans="3:13" ht="12.75" customHeight="1">
      <c r="C62968"/>
      <c r="M62968"/>
    </row>
    <row r="62969" spans="3:13" ht="12.75" customHeight="1">
      <c r="C62969"/>
      <c r="M62969"/>
    </row>
    <row r="62970" spans="3:13" ht="12.75" customHeight="1">
      <c r="C62970"/>
      <c r="M62970"/>
    </row>
    <row r="62971" spans="3:13" ht="12.75" customHeight="1">
      <c r="C62971"/>
      <c r="M62971"/>
    </row>
    <row r="62972" spans="3:13" ht="12.75" customHeight="1">
      <c r="C62972"/>
      <c r="M62972"/>
    </row>
    <row r="62973" spans="3:13" ht="12.75" customHeight="1">
      <c r="C62973"/>
      <c r="M62973"/>
    </row>
    <row r="62974" spans="3:13" ht="12.75" customHeight="1">
      <c r="C62974"/>
      <c r="M62974"/>
    </row>
    <row r="62975" spans="3:13" ht="12.75" customHeight="1">
      <c r="C62975"/>
      <c r="M62975"/>
    </row>
    <row r="62976" spans="3:13" ht="12.75" customHeight="1">
      <c r="C62976"/>
      <c r="M62976"/>
    </row>
    <row r="62977" spans="3:13" ht="12.75" customHeight="1">
      <c r="C62977"/>
      <c r="M62977"/>
    </row>
    <row r="62978" spans="3:13" ht="12.75" customHeight="1">
      <c r="C62978"/>
      <c r="M62978"/>
    </row>
    <row r="62979" spans="3:13" ht="12.75" customHeight="1">
      <c r="C62979"/>
      <c r="M62979"/>
    </row>
    <row r="62980" spans="3:13" ht="12.75" customHeight="1">
      <c r="C62980"/>
      <c r="M62980"/>
    </row>
    <row r="62981" spans="3:13" ht="12.75" customHeight="1">
      <c r="C62981"/>
      <c r="M62981"/>
    </row>
    <row r="62982" spans="3:13" ht="12.75" customHeight="1">
      <c r="C62982"/>
      <c r="M62982"/>
    </row>
    <row r="62983" spans="3:13" ht="12.75" customHeight="1">
      <c r="C62983"/>
      <c r="M62983"/>
    </row>
    <row r="62984" spans="3:13" ht="12.75" customHeight="1">
      <c r="C62984"/>
      <c r="M62984"/>
    </row>
    <row r="62985" spans="3:13" ht="12.75" customHeight="1">
      <c r="C62985"/>
      <c r="M62985"/>
    </row>
    <row r="62986" spans="3:13" ht="12.75" customHeight="1">
      <c r="C62986"/>
      <c r="M62986"/>
    </row>
    <row r="62987" spans="3:13" ht="12.75" customHeight="1">
      <c r="C62987"/>
      <c r="M62987"/>
    </row>
    <row r="62988" spans="3:13" ht="12.75" customHeight="1">
      <c r="C62988"/>
      <c r="M62988"/>
    </row>
    <row r="62989" spans="3:13" ht="12.75" customHeight="1">
      <c r="C62989"/>
      <c r="M62989"/>
    </row>
    <row r="62990" spans="3:13" ht="12.75" customHeight="1">
      <c r="C62990"/>
      <c r="M62990"/>
    </row>
    <row r="62991" spans="3:13" ht="12.75" customHeight="1">
      <c r="C62991"/>
      <c r="M62991"/>
    </row>
    <row r="62992" spans="3:13" ht="12.75" customHeight="1">
      <c r="C62992"/>
      <c r="M62992"/>
    </row>
    <row r="62993" spans="3:13" ht="12.75" customHeight="1">
      <c r="C62993"/>
      <c r="M62993"/>
    </row>
    <row r="62994" spans="3:13" ht="12.75" customHeight="1">
      <c r="C62994"/>
      <c r="M62994"/>
    </row>
    <row r="62995" spans="3:13" ht="12.75" customHeight="1">
      <c r="C62995"/>
      <c r="M62995"/>
    </row>
    <row r="62996" spans="3:13" ht="12.75" customHeight="1">
      <c r="C62996"/>
      <c r="M62996"/>
    </row>
    <row r="62997" spans="3:13" ht="12.75" customHeight="1">
      <c r="C62997"/>
      <c r="M62997"/>
    </row>
    <row r="62998" spans="3:13" ht="12.75" customHeight="1">
      <c r="C62998"/>
      <c r="M62998"/>
    </row>
    <row r="62999" spans="3:13" ht="12.75" customHeight="1">
      <c r="C62999"/>
      <c r="M62999"/>
    </row>
    <row r="63000" spans="3:13" ht="12.75" customHeight="1">
      <c r="C63000"/>
      <c r="M63000"/>
    </row>
    <row r="63001" spans="3:13" ht="12.75" customHeight="1">
      <c r="C63001"/>
      <c r="M63001"/>
    </row>
    <row r="63002" spans="3:13" ht="12.75" customHeight="1">
      <c r="C63002"/>
      <c r="M63002"/>
    </row>
    <row r="63003" spans="3:13" ht="12.75" customHeight="1">
      <c r="C63003"/>
      <c r="M63003"/>
    </row>
    <row r="63004" spans="3:13" ht="12.75" customHeight="1">
      <c r="C63004"/>
      <c r="M63004"/>
    </row>
    <row r="63005" spans="3:13" ht="12.75" customHeight="1">
      <c r="C63005"/>
      <c r="M63005"/>
    </row>
    <row r="63006" spans="3:13" ht="12.75" customHeight="1">
      <c r="C63006"/>
      <c r="M63006"/>
    </row>
    <row r="63007" spans="3:13" ht="12.75" customHeight="1">
      <c r="C63007"/>
      <c r="M63007"/>
    </row>
    <row r="63008" spans="3:13" ht="12.75" customHeight="1">
      <c r="C63008"/>
      <c r="M63008"/>
    </row>
    <row r="63009" spans="3:13" ht="12.75" customHeight="1">
      <c r="C63009"/>
      <c r="M63009"/>
    </row>
    <row r="63010" spans="3:13" ht="12.75" customHeight="1">
      <c r="C63010"/>
      <c r="M63010"/>
    </row>
    <row r="63011" spans="3:13" ht="12.75" customHeight="1">
      <c r="C63011"/>
      <c r="M63011"/>
    </row>
    <row r="63012" spans="3:13" ht="12.75" customHeight="1">
      <c r="C63012"/>
      <c r="M63012"/>
    </row>
    <row r="63013" spans="3:13" ht="12.75" customHeight="1">
      <c r="C63013"/>
      <c r="M63013"/>
    </row>
    <row r="63014" spans="3:13" ht="12.75" customHeight="1">
      <c r="C63014"/>
      <c r="M63014"/>
    </row>
    <row r="63015" spans="3:13" ht="12.75" customHeight="1">
      <c r="C63015"/>
      <c r="M63015"/>
    </row>
    <row r="63016" spans="3:13" ht="12.75" customHeight="1">
      <c r="C63016"/>
      <c r="M63016"/>
    </row>
    <row r="63017" spans="3:13" ht="12.75" customHeight="1">
      <c r="C63017"/>
      <c r="M63017"/>
    </row>
    <row r="63018" spans="3:13" ht="12.75" customHeight="1">
      <c r="C63018"/>
      <c r="M63018"/>
    </row>
    <row r="63019" spans="3:13" ht="12.75" customHeight="1">
      <c r="C63019"/>
      <c r="M63019"/>
    </row>
    <row r="63020" spans="3:13" ht="12.75" customHeight="1">
      <c r="C63020"/>
      <c r="M63020"/>
    </row>
    <row r="63021" spans="3:13" ht="12.75" customHeight="1">
      <c r="C63021"/>
      <c r="M63021"/>
    </row>
    <row r="63022" spans="3:13" ht="12.75" customHeight="1">
      <c r="C63022"/>
      <c r="M63022"/>
    </row>
    <row r="63023" spans="3:13" ht="12.75" customHeight="1">
      <c r="C63023"/>
      <c r="M63023"/>
    </row>
    <row r="63024" spans="3:13" ht="12.75" customHeight="1">
      <c r="C63024"/>
      <c r="M63024"/>
    </row>
    <row r="63025" spans="3:13" ht="12.75" customHeight="1">
      <c r="C63025"/>
      <c r="M63025"/>
    </row>
    <row r="63026" spans="3:13" ht="12.75" customHeight="1">
      <c r="C63026"/>
      <c r="M63026"/>
    </row>
    <row r="63027" spans="3:13" ht="12.75" customHeight="1">
      <c r="C63027"/>
      <c r="M63027"/>
    </row>
    <row r="63028" spans="3:13" ht="12.75" customHeight="1">
      <c r="C63028"/>
      <c r="M63028"/>
    </row>
    <row r="63029" spans="3:13" ht="12.75" customHeight="1">
      <c r="C63029"/>
      <c r="M63029"/>
    </row>
    <row r="63030" spans="3:13" ht="12.75" customHeight="1">
      <c r="C63030"/>
      <c r="M63030"/>
    </row>
    <row r="63031" spans="3:13" ht="12.75" customHeight="1">
      <c r="C63031"/>
      <c r="M63031"/>
    </row>
    <row r="63032" spans="3:13" ht="12.75" customHeight="1">
      <c r="C63032"/>
      <c r="M63032"/>
    </row>
    <row r="63033" spans="3:13" ht="12.75" customHeight="1">
      <c r="C63033"/>
      <c r="M63033"/>
    </row>
    <row r="63034" spans="3:13" ht="12.75" customHeight="1">
      <c r="C63034"/>
      <c r="M63034"/>
    </row>
    <row r="63035" spans="3:13" ht="12.75" customHeight="1">
      <c r="C63035"/>
      <c r="M63035"/>
    </row>
    <row r="63036" spans="3:13" ht="12.75" customHeight="1">
      <c r="C63036"/>
      <c r="M63036"/>
    </row>
    <row r="63037" spans="3:13" ht="12.75" customHeight="1">
      <c r="C63037"/>
      <c r="M63037"/>
    </row>
    <row r="63038" spans="3:13" ht="12.75" customHeight="1">
      <c r="C63038"/>
      <c r="M63038"/>
    </row>
    <row r="63039" spans="3:13" ht="12.75" customHeight="1">
      <c r="C63039"/>
      <c r="M63039"/>
    </row>
    <row r="63040" spans="3:13" ht="12.75" customHeight="1">
      <c r="C63040"/>
      <c r="M63040"/>
    </row>
    <row r="63041" spans="3:13" ht="12.75" customHeight="1">
      <c r="C63041"/>
      <c r="M63041"/>
    </row>
    <row r="63042" spans="3:13" ht="12.75" customHeight="1">
      <c r="C63042"/>
      <c r="M63042"/>
    </row>
    <row r="63043" spans="3:13" ht="12.75" customHeight="1">
      <c r="C63043"/>
      <c r="M63043"/>
    </row>
    <row r="63044" spans="3:13" ht="12.75" customHeight="1">
      <c r="C63044"/>
      <c r="M63044"/>
    </row>
    <row r="63045" spans="3:13" ht="12.75" customHeight="1">
      <c r="C63045"/>
      <c r="M63045"/>
    </row>
    <row r="63046" spans="3:13" ht="12.75" customHeight="1">
      <c r="C63046"/>
      <c r="M63046"/>
    </row>
    <row r="63047" spans="3:13" ht="12.75" customHeight="1">
      <c r="C63047"/>
      <c r="M63047"/>
    </row>
    <row r="63048" spans="3:13" ht="12.75" customHeight="1">
      <c r="C63048"/>
      <c r="M63048"/>
    </row>
    <row r="63049" spans="3:13" ht="12.75" customHeight="1">
      <c r="C63049"/>
      <c r="M63049"/>
    </row>
    <row r="63050" spans="3:13" ht="12.75" customHeight="1">
      <c r="C63050"/>
      <c r="M63050"/>
    </row>
    <row r="63051" spans="3:13" ht="12.75" customHeight="1">
      <c r="C63051"/>
      <c r="M63051"/>
    </row>
    <row r="63052" spans="3:13" ht="12.75" customHeight="1">
      <c r="C63052"/>
      <c r="M63052"/>
    </row>
    <row r="63053" spans="3:13" ht="12.75" customHeight="1">
      <c r="C63053"/>
      <c r="M63053"/>
    </row>
    <row r="63054" spans="3:13" ht="12.75" customHeight="1">
      <c r="C63054"/>
      <c r="M63054"/>
    </row>
    <row r="63055" spans="3:13" ht="12.75" customHeight="1">
      <c r="C63055"/>
      <c r="M63055"/>
    </row>
    <row r="63056" spans="3:13" ht="12.75" customHeight="1">
      <c r="C63056"/>
      <c r="M63056"/>
    </row>
    <row r="63057" spans="3:13" ht="12.75" customHeight="1">
      <c r="C63057"/>
      <c r="M63057"/>
    </row>
    <row r="63058" spans="3:13" ht="12.75" customHeight="1">
      <c r="C63058"/>
      <c r="M63058"/>
    </row>
    <row r="63059" spans="3:13" ht="12.75" customHeight="1">
      <c r="C63059"/>
      <c r="M63059"/>
    </row>
    <row r="63060" spans="3:13" ht="12.75" customHeight="1">
      <c r="C63060"/>
      <c r="M63060"/>
    </row>
    <row r="63061" spans="3:13" ht="12.75" customHeight="1">
      <c r="C63061"/>
      <c r="M63061"/>
    </row>
    <row r="63062" spans="3:13" ht="12.75" customHeight="1">
      <c r="C63062"/>
      <c r="M63062"/>
    </row>
    <row r="63063" spans="3:13" ht="12.75" customHeight="1">
      <c r="C63063"/>
      <c r="M63063"/>
    </row>
    <row r="63064" spans="3:13" ht="12.75" customHeight="1">
      <c r="C63064"/>
      <c r="M63064"/>
    </row>
    <row r="63065" spans="3:13" ht="12.75" customHeight="1">
      <c r="C63065"/>
      <c r="M63065"/>
    </row>
    <row r="63066" spans="3:13" ht="12.75" customHeight="1">
      <c r="C63066"/>
      <c r="M63066"/>
    </row>
    <row r="63067" spans="3:13" ht="12.75" customHeight="1">
      <c r="C63067"/>
      <c r="M63067"/>
    </row>
    <row r="63068" spans="3:13" ht="12.75" customHeight="1">
      <c r="C63068"/>
      <c r="M63068"/>
    </row>
    <row r="63069" spans="3:13" ht="12.75" customHeight="1">
      <c r="C63069"/>
      <c r="M63069"/>
    </row>
    <row r="63070" spans="3:13" ht="12.75" customHeight="1">
      <c r="C63070"/>
      <c r="M63070"/>
    </row>
    <row r="63071" spans="3:13" ht="12.75" customHeight="1">
      <c r="C63071"/>
      <c r="M63071"/>
    </row>
    <row r="63072" spans="3:13" ht="12.75" customHeight="1">
      <c r="C63072"/>
      <c r="M63072"/>
    </row>
    <row r="63073" spans="3:13" ht="12.75" customHeight="1">
      <c r="C63073"/>
      <c r="M63073"/>
    </row>
    <row r="63074" spans="3:13" ht="12.75" customHeight="1">
      <c r="C63074"/>
      <c r="M63074"/>
    </row>
    <row r="63075" spans="3:13" ht="12.75" customHeight="1">
      <c r="C63075"/>
      <c r="M63075"/>
    </row>
    <row r="63076" spans="3:13" ht="12.75" customHeight="1">
      <c r="C63076"/>
      <c r="M63076"/>
    </row>
    <row r="63077" spans="3:13" ht="12.75" customHeight="1">
      <c r="C63077"/>
      <c r="M63077"/>
    </row>
    <row r="63078" spans="3:13" ht="12.75" customHeight="1">
      <c r="C63078"/>
      <c r="M63078"/>
    </row>
    <row r="63079" spans="3:13" ht="12.75" customHeight="1">
      <c r="C63079"/>
      <c r="M63079"/>
    </row>
    <row r="63080" spans="3:13" ht="12.75" customHeight="1">
      <c r="C63080"/>
      <c r="M63080"/>
    </row>
    <row r="63081" spans="3:13" ht="12.75" customHeight="1">
      <c r="C63081"/>
      <c r="M63081"/>
    </row>
    <row r="63082" spans="3:13" ht="12.75" customHeight="1">
      <c r="C63082"/>
      <c r="M63082"/>
    </row>
    <row r="63083" spans="3:13" ht="12.75" customHeight="1">
      <c r="C63083"/>
      <c r="M63083"/>
    </row>
    <row r="63084" spans="3:13" ht="12.75" customHeight="1">
      <c r="C63084"/>
      <c r="M63084"/>
    </row>
    <row r="63085" spans="3:13" ht="12.75" customHeight="1">
      <c r="C63085"/>
      <c r="M63085"/>
    </row>
    <row r="63086" spans="3:13" ht="12.75" customHeight="1">
      <c r="C63086"/>
      <c r="M63086"/>
    </row>
    <row r="63087" spans="3:13" ht="12.75" customHeight="1">
      <c r="C63087"/>
      <c r="M63087"/>
    </row>
    <row r="63088" spans="3:13" ht="12.75" customHeight="1">
      <c r="C63088"/>
      <c r="M63088"/>
    </row>
    <row r="63089" spans="3:13" ht="12.75" customHeight="1">
      <c r="C63089"/>
      <c r="M63089"/>
    </row>
    <row r="63090" spans="3:13" ht="12.75" customHeight="1">
      <c r="C63090"/>
      <c r="M63090"/>
    </row>
    <row r="63091" spans="3:13" ht="12.75" customHeight="1">
      <c r="C63091"/>
      <c r="M63091"/>
    </row>
    <row r="63092" spans="3:13" ht="12.75" customHeight="1">
      <c r="C63092"/>
      <c r="M63092"/>
    </row>
    <row r="63093" spans="3:13" ht="12.75" customHeight="1">
      <c r="C63093"/>
      <c r="M63093"/>
    </row>
    <row r="63094" spans="3:13" ht="12.75" customHeight="1">
      <c r="C63094"/>
      <c r="M63094"/>
    </row>
    <row r="63095" spans="3:13" ht="12.75" customHeight="1">
      <c r="C63095"/>
      <c r="M63095"/>
    </row>
    <row r="63096" spans="3:13" ht="12.75" customHeight="1">
      <c r="C63096"/>
      <c r="M63096"/>
    </row>
    <row r="63097" spans="3:13" ht="12.75" customHeight="1">
      <c r="C63097"/>
      <c r="M63097"/>
    </row>
    <row r="63098" spans="3:13" ht="12.75" customHeight="1">
      <c r="C63098"/>
      <c r="M63098"/>
    </row>
    <row r="63099" spans="3:13" ht="12.75" customHeight="1">
      <c r="C63099"/>
      <c r="M63099"/>
    </row>
    <row r="63100" spans="3:13" ht="12.75" customHeight="1">
      <c r="C63100"/>
      <c r="M63100"/>
    </row>
    <row r="63101" spans="3:13" ht="12.75" customHeight="1">
      <c r="C63101"/>
      <c r="M63101"/>
    </row>
    <row r="63102" spans="3:13" ht="12.75" customHeight="1">
      <c r="C63102"/>
      <c r="M63102"/>
    </row>
    <row r="63103" spans="3:13" ht="12.75" customHeight="1">
      <c r="C63103"/>
      <c r="M63103"/>
    </row>
    <row r="63104" spans="3:13" ht="12.75" customHeight="1">
      <c r="C63104"/>
      <c r="M63104"/>
    </row>
    <row r="63105" spans="3:13" ht="12.75" customHeight="1">
      <c r="C63105"/>
      <c r="M63105"/>
    </row>
    <row r="63106" spans="3:13" ht="12.75" customHeight="1">
      <c r="C63106"/>
      <c r="M63106"/>
    </row>
    <row r="63107" spans="3:13" ht="12.75" customHeight="1">
      <c r="C63107"/>
      <c r="M63107"/>
    </row>
    <row r="63108" spans="3:13" ht="12.75" customHeight="1">
      <c r="C63108"/>
      <c r="M63108"/>
    </row>
    <row r="63109" spans="3:13" ht="12.75" customHeight="1">
      <c r="C63109"/>
      <c r="M63109"/>
    </row>
    <row r="63110" spans="3:13" ht="12.75" customHeight="1">
      <c r="C63110"/>
      <c r="M63110"/>
    </row>
    <row r="63111" spans="3:13" ht="12.75" customHeight="1">
      <c r="C63111"/>
      <c r="M63111"/>
    </row>
    <row r="63112" spans="3:13" ht="12.75" customHeight="1">
      <c r="C63112"/>
      <c r="M63112"/>
    </row>
    <row r="63113" spans="3:13" ht="12.75" customHeight="1">
      <c r="C63113"/>
      <c r="M63113"/>
    </row>
    <row r="63114" spans="3:13" ht="12.75" customHeight="1">
      <c r="C63114"/>
      <c r="M63114"/>
    </row>
    <row r="63115" spans="3:13" ht="12.75" customHeight="1">
      <c r="C63115"/>
      <c r="M63115"/>
    </row>
    <row r="63116" spans="3:13" ht="12.75" customHeight="1">
      <c r="C63116"/>
      <c r="M63116"/>
    </row>
    <row r="63117" spans="3:13" ht="12.75" customHeight="1">
      <c r="C63117"/>
      <c r="M63117"/>
    </row>
    <row r="63118" spans="3:13" ht="12.75" customHeight="1">
      <c r="C63118"/>
      <c r="M63118"/>
    </row>
    <row r="63119" spans="3:13" ht="12.75" customHeight="1">
      <c r="C63119"/>
      <c r="M63119"/>
    </row>
    <row r="63120" spans="3:13" ht="12.75" customHeight="1">
      <c r="C63120"/>
      <c r="M63120"/>
    </row>
    <row r="63121" spans="3:13" ht="12.75" customHeight="1">
      <c r="C63121"/>
      <c r="M63121"/>
    </row>
    <row r="63122" spans="3:13" ht="12.75" customHeight="1">
      <c r="C63122"/>
      <c r="M63122"/>
    </row>
    <row r="63123" spans="3:13" ht="12.75" customHeight="1">
      <c r="C63123"/>
      <c r="M63123"/>
    </row>
    <row r="63124" spans="3:13" ht="12.75" customHeight="1">
      <c r="C63124"/>
      <c r="M63124"/>
    </row>
    <row r="63125" spans="3:13" ht="12.75" customHeight="1">
      <c r="C63125"/>
      <c r="M63125"/>
    </row>
    <row r="63126" spans="3:13" ht="12.75" customHeight="1">
      <c r="C63126"/>
      <c r="M63126"/>
    </row>
    <row r="63127" spans="3:13" ht="12.75" customHeight="1">
      <c r="C63127"/>
      <c r="M63127"/>
    </row>
    <row r="63128" spans="3:13" ht="12.75" customHeight="1">
      <c r="C63128"/>
      <c r="M63128"/>
    </row>
    <row r="63129" spans="3:13" ht="12.75" customHeight="1">
      <c r="C63129"/>
      <c r="M63129"/>
    </row>
    <row r="63130" spans="3:13" ht="12.75" customHeight="1">
      <c r="C63130"/>
      <c r="M63130"/>
    </row>
    <row r="63131" spans="3:13" ht="12.75" customHeight="1">
      <c r="C63131"/>
      <c r="M63131"/>
    </row>
    <row r="63132" spans="3:13" ht="12.75" customHeight="1">
      <c r="C63132"/>
      <c r="M63132"/>
    </row>
    <row r="63133" spans="3:13" ht="12.75" customHeight="1">
      <c r="C63133"/>
      <c r="M63133"/>
    </row>
    <row r="63134" spans="3:13" ht="12.75" customHeight="1">
      <c r="C63134"/>
      <c r="M63134"/>
    </row>
    <row r="63135" spans="3:13" ht="12.75" customHeight="1">
      <c r="C63135"/>
      <c r="M63135"/>
    </row>
    <row r="63136" spans="3:13" ht="12.75" customHeight="1">
      <c r="C63136"/>
      <c r="M63136"/>
    </row>
    <row r="63137" spans="3:13" ht="12.75" customHeight="1">
      <c r="C63137"/>
      <c r="M63137"/>
    </row>
    <row r="63138" spans="3:13" ht="12.75" customHeight="1">
      <c r="C63138"/>
      <c r="M63138"/>
    </row>
    <row r="63139" spans="3:13" ht="12.75" customHeight="1">
      <c r="C63139"/>
      <c r="M63139"/>
    </row>
    <row r="63140" spans="3:13" ht="12.75" customHeight="1">
      <c r="C63140"/>
      <c r="M63140"/>
    </row>
    <row r="63141" spans="3:13" ht="12.75" customHeight="1">
      <c r="C63141"/>
      <c r="M63141"/>
    </row>
    <row r="63142" spans="3:13" ht="12.75" customHeight="1">
      <c r="C63142"/>
      <c r="M63142"/>
    </row>
    <row r="63143" spans="3:13" ht="12.75" customHeight="1">
      <c r="C63143"/>
      <c r="M63143"/>
    </row>
    <row r="63144" spans="3:13" ht="12.75" customHeight="1">
      <c r="C63144"/>
      <c r="M63144"/>
    </row>
    <row r="63145" spans="3:13" ht="12.75" customHeight="1">
      <c r="C63145"/>
      <c r="M63145"/>
    </row>
    <row r="63146" spans="3:13" ht="12.75" customHeight="1">
      <c r="C63146"/>
      <c r="M63146"/>
    </row>
    <row r="63147" spans="3:13" ht="12.75" customHeight="1">
      <c r="C63147"/>
      <c r="M63147"/>
    </row>
    <row r="63148" spans="3:13" ht="12.75" customHeight="1">
      <c r="C63148"/>
      <c r="M63148"/>
    </row>
    <row r="63149" spans="3:13" ht="12.75" customHeight="1">
      <c r="C63149"/>
      <c r="M63149"/>
    </row>
    <row r="63150" spans="3:13" ht="12.75" customHeight="1">
      <c r="C63150"/>
      <c r="M63150"/>
    </row>
    <row r="63151" spans="3:13" ht="12.75" customHeight="1">
      <c r="C63151"/>
      <c r="M63151"/>
    </row>
    <row r="63152" spans="3:13" ht="12.75" customHeight="1">
      <c r="C63152"/>
      <c r="M63152"/>
    </row>
    <row r="63153" spans="3:13" ht="12.75" customHeight="1">
      <c r="C63153"/>
      <c r="M63153"/>
    </row>
    <row r="63154" spans="3:13" ht="12.75" customHeight="1">
      <c r="C63154"/>
      <c r="M63154"/>
    </row>
    <row r="63155" spans="3:13" ht="12.75" customHeight="1">
      <c r="C63155"/>
      <c r="M63155"/>
    </row>
    <row r="63156" spans="3:13" ht="12.75" customHeight="1">
      <c r="C63156"/>
      <c r="M63156"/>
    </row>
    <row r="63157" spans="3:13" ht="12.75" customHeight="1">
      <c r="C63157"/>
      <c r="M63157"/>
    </row>
    <row r="63158" spans="3:13" ht="12.75" customHeight="1">
      <c r="C63158"/>
      <c r="M63158"/>
    </row>
    <row r="63159" spans="3:13" ht="12.75" customHeight="1">
      <c r="C63159"/>
      <c r="M63159"/>
    </row>
    <row r="63160" spans="3:13" ht="12.75" customHeight="1">
      <c r="C63160"/>
      <c r="M63160"/>
    </row>
    <row r="63161" spans="3:13" ht="12.75" customHeight="1">
      <c r="C63161"/>
      <c r="M63161"/>
    </row>
    <row r="63162" spans="3:13" ht="12.75" customHeight="1">
      <c r="C63162"/>
      <c r="M63162"/>
    </row>
    <row r="63163" spans="3:13" ht="12.75" customHeight="1">
      <c r="C63163"/>
      <c r="M63163"/>
    </row>
    <row r="63164" spans="3:13" ht="12.75" customHeight="1">
      <c r="C63164"/>
      <c r="M63164"/>
    </row>
    <row r="63165" spans="3:13" ht="12.75" customHeight="1">
      <c r="C63165"/>
      <c r="M63165"/>
    </row>
    <row r="63166" spans="3:13" ht="12.75" customHeight="1">
      <c r="C63166"/>
      <c r="M63166"/>
    </row>
    <row r="63167" spans="3:13" ht="12.75" customHeight="1">
      <c r="C63167"/>
      <c r="M63167"/>
    </row>
    <row r="63168" spans="3:13" ht="12.75" customHeight="1">
      <c r="C63168"/>
      <c r="M63168"/>
    </row>
    <row r="63169" spans="3:13" ht="12.75" customHeight="1">
      <c r="C63169"/>
      <c r="M63169"/>
    </row>
    <row r="63170" spans="3:13" ht="12.75" customHeight="1">
      <c r="C63170"/>
      <c r="M63170"/>
    </row>
    <row r="63171" spans="3:13" ht="12.75" customHeight="1">
      <c r="C63171"/>
      <c r="M63171"/>
    </row>
    <row r="63172" spans="3:13" ht="12.75" customHeight="1">
      <c r="C63172"/>
      <c r="M63172"/>
    </row>
    <row r="63173" spans="3:13" ht="12.75" customHeight="1">
      <c r="C63173"/>
      <c r="M63173"/>
    </row>
    <row r="63174" spans="3:13" ht="12.75" customHeight="1">
      <c r="C63174"/>
      <c r="M63174"/>
    </row>
    <row r="63175" spans="3:13" ht="12.75" customHeight="1">
      <c r="C63175"/>
      <c r="M63175"/>
    </row>
    <row r="63176" spans="3:13" ht="12.75" customHeight="1">
      <c r="C63176"/>
      <c r="M63176"/>
    </row>
    <row r="63177" spans="3:13" ht="12.75" customHeight="1">
      <c r="C63177"/>
      <c r="M63177"/>
    </row>
    <row r="63178" spans="3:13" ht="12.75" customHeight="1">
      <c r="C63178"/>
      <c r="M63178"/>
    </row>
    <row r="63179" spans="3:13" ht="12.75" customHeight="1">
      <c r="C63179"/>
      <c r="M63179"/>
    </row>
    <row r="63180" spans="3:13" ht="12.75" customHeight="1">
      <c r="C63180"/>
      <c r="M63180"/>
    </row>
    <row r="63181" spans="3:13" ht="12.75" customHeight="1">
      <c r="C63181"/>
      <c r="M63181"/>
    </row>
    <row r="63182" spans="3:13" ht="12.75" customHeight="1">
      <c r="C63182"/>
      <c r="M63182"/>
    </row>
    <row r="63183" spans="3:13" ht="12.75" customHeight="1">
      <c r="C63183"/>
      <c r="M63183"/>
    </row>
    <row r="63184" spans="3:13" ht="12.75" customHeight="1">
      <c r="C63184"/>
      <c r="M63184"/>
    </row>
    <row r="63185" spans="3:13" ht="12.75" customHeight="1">
      <c r="C63185"/>
      <c r="M63185"/>
    </row>
    <row r="63186" spans="3:13" ht="12.75" customHeight="1">
      <c r="C63186"/>
      <c r="M63186"/>
    </row>
    <row r="63187" spans="3:13" ht="12.75" customHeight="1">
      <c r="C63187"/>
      <c r="M63187"/>
    </row>
    <row r="63188" spans="3:13" ht="12.75" customHeight="1">
      <c r="C63188"/>
      <c r="M63188"/>
    </row>
    <row r="63189" spans="3:13" ht="12.75" customHeight="1">
      <c r="C63189"/>
      <c r="M63189"/>
    </row>
    <row r="63190" spans="3:13" ht="12.75" customHeight="1">
      <c r="C63190"/>
      <c r="M63190"/>
    </row>
    <row r="63191" spans="3:13" ht="12.75" customHeight="1">
      <c r="C63191"/>
      <c r="M63191"/>
    </row>
    <row r="63192" spans="3:13" ht="12.75" customHeight="1">
      <c r="C63192"/>
      <c r="M63192"/>
    </row>
    <row r="63193" spans="3:13" ht="12.75" customHeight="1">
      <c r="C63193"/>
      <c r="M63193"/>
    </row>
    <row r="63194" spans="3:13" ht="12.75" customHeight="1">
      <c r="C63194"/>
      <c r="M63194"/>
    </row>
    <row r="63195" spans="3:13" ht="12.75" customHeight="1">
      <c r="C63195"/>
      <c r="M63195"/>
    </row>
    <row r="63196" spans="3:13" ht="12.75" customHeight="1">
      <c r="C63196"/>
      <c r="M63196"/>
    </row>
    <row r="63197" spans="3:13" ht="12.75" customHeight="1">
      <c r="C63197"/>
      <c r="M63197"/>
    </row>
    <row r="63198" spans="3:13" ht="12.75" customHeight="1">
      <c r="C63198"/>
      <c r="M63198"/>
    </row>
    <row r="63199" spans="3:13" ht="12.75" customHeight="1">
      <c r="C63199"/>
      <c r="M63199"/>
    </row>
    <row r="63200" spans="3:13" ht="12.75" customHeight="1">
      <c r="C63200"/>
      <c r="M63200"/>
    </row>
    <row r="63201" spans="3:13" ht="12.75" customHeight="1">
      <c r="C63201"/>
      <c r="M63201"/>
    </row>
    <row r="63202" spans="3:13" ht="12.75" customHeight="1">
      <c r="C63202"/>
      <c r="M63202"/>
    </row>
    <row r="63203" spans="3:13" ht="12.75" customHeight="1">
      <c r="C63203"/>
      <c r="M63203"/>
    </row>
    <row r="63204" spans="3:13" ht="12.75" customHeight="1">
      <c r="C63204"/>
      <c r="M63204"/>
    </row>
    <row r="63205" spans="3:13" ht="12.75" customHeight="1">
      <c r="C63205"/>
      <c r="M63205"/>
    </row>
    <row r="63206" spans="3:13" ht="12.75" customHeight="1">
      <c r="C63206"/>
      <c r="M63206"/>
    </row>
    <row r="63207" spans="3:13" ht="12.75" customHeight="1">
      <c r="C63207"/>
      <c r="M63207"/>
    </row>
    <row r="63208" spans="3:13" ht="12.75" customHeight="1">
      <c r="C63208"/>
      <c r="M63208"/>
    </row>
    <row r="63209" spans="3:13" ht="12.75" customHeight="1">
      <c r="C63209"/>
      <c r="M63209"/>
    </row>
    <row r="63210" spans="3:13" ht="12.75" customHeight="1">
      <c r="C63210"/>
      <c r="M63210"/>
    </row>
    <row r="63211" spans="3:13" ht="12.75" customHeight="1">
      <c r="C63211"/>
      <c r="M63211"/>
    </row>
    <row r="63212" spans="3:13" ht="12.75" customHeight="1">
      <c r="C63212"/>
      <c r="M63212"/>
    </row>
    <row r="63213" spans="3:13" ht="12.75" customHeight="1">
      <c r="C63213"/>
      <c r="M63213"/>
    </row>
    <row r="63214" spans="3:13" ht="12.75" customHeight="1">
      <c r="C63214"/>
      <c r="M63214"/>
    </row>
    <row r="63215" spans="3:13" ht="12.75" customHeight="1">
      <c r="C63215"/>
      <c r="M63215"/>
    </row>
    <row r="63216" spans="3:13" ht="12.75" customHeight="1">
      <c r="C63216"/>
      <c r="M63216"/>
    </row>
    <row r="63217" spans="3:13" ht="12.75" customHeight="1">
      <c r="C63217"/>
      <c r="M63217"/>
    </row>
    <row r="63218" spans="3:13" ht="12.75" customHeight="1">
      <c r="C63218"/>
      <c r="M63218"/>
    </row>
    <row r="63219" spans="3:13" ht="12.75" customHeight="1">
      <c r="C63219"/>
      <c r="M63219"/>
    </row>
    <row r="63220" spans="3:13" ht="12.75" customHeight="1">
      <c r="C63220"/>
      <c r="M63220"/>
    </row>
    <row r="63221" spans="3:13" ht="12.75" customHeight="1">
      <c r="C63221"/>
      <c r="M63221"/>
    </row>
    <row r="63222" spans="3:13" ht="12.75" customHeight="1">
      <c r="C63222"/>
      <c r="M63222"/>
    </row>
    <row r="63223" spans="3:13" ht="12.75" customHeight="1">
      <c r="C63223"/>
      <c r="M63223"/>
    </row>
    <row r="63224" spans="3:13" ht="12.75" customHeight="1">
      <c r="C63224"/>
      <c r="M63224"/>
    </row>
    <row r="63225" spans="3:13" ht="12.75" customHeight="1">
      <c r="C63225"/>
      <c r="M63225"/>
    </row>
    <row r="63226" spans="3:13" ht="12.75" customHeight="1">
      <c r="C63226"/>
      <c r="M63226"/>
    </row>
    <row r="63227" spans="3:13" ht="12.75" customHeight="1">
      <c r="C63227"/>
      <c r="M63227"/>
    </row>
    <row r="63228" spans="3:13" ht="12.75" customHeight="1">
      <c r="C63228"/>
      <c r="M63228"/>
    </row>
    <row r="63229" spans="3:13" ht="12.75" customHeight="1">
      <c r="C63229"/>
      <c r="M63229"/>
    </row>
    <row r="63230" spans="3:13" ht="12.75" customHeight="1">
      <c r="C63230"/>
      <c r="M63230"/>
    </row>
    <row r="63231" spans="3:13" ht="12.75" customHeight="1">
      <c r="C63231"/>
      <c r="M63231"/>
    </row>
    <row r="63232" spans="3:13" ht="12.75" customHeight="1">
      <c r="C63232"/>
      <c r="M63232"/>
    </row>
    <row r="63233" spans="3:13" ht="12.75" customHeight="1">
      <c r="C63233"/>
      <c r="M63233"/>
    </row>
    <row r="63234" spans="3:13" ht="12.75" customHeight="1">
      <c r="C63234"/>
      <c r="M63234"/>
    </row>
    <row r="63235" spans="3:13" ht="12.75" customHeight="1">
      <c r="C63235"/>
      <c r="M63235"/>
    </row>
    <row r="63236" spans="3:13" ht="12.75" customHeight="1">
      <c r="C63236"/>
      <c r="M63236"/>
    </row>
    <row r="63237" spans="3:13" ht="12.75" customHeight="1">
      <c r="C63237"/>
      <c r="M63237"/>
    </row>
    <row r="63238" spans="3:13" ht="12.75" customHeight="1">
      <c r="C63238"/>
      <c r="M63238"/>
    </row>
    <row r="63239" spans="3:13" ht="12.75" customHeight="1">
      <c r="C63239"/>
      <c r="M63239"/>
    </row>
    <row r="63240" spans="3:13" ht="12.75" customHeight="1">
      <c r="C63240"/>
      <c r="M63240"/>
    </row>
    <row r="63241" spans="3:13" ht="12.75" customHeight="1">
      <c r="C63241"/>
      <c r="M63241"/>
    </row>
    <row r="63242" spans="3:13" ht="12.75" customHeight="1">
      <c r="C63242"/>
      <c r="M63242"/>
    </row>
    <row r="63243" spans="3:13" ht="12.75" customHeight="1">
      <c r="C63243"/>
      <c r="M63243"/>
    </row>
    <row r="63244" spans="3:13" ht="12.75" customHeight="1">
      <c r="C63244"/>
      <c r="M63244"/>
    </row>
    <row r="63245" spans="3:13" ht="12.75" customHeight="1">
      <c r="C63245"/>
      <c r="M63245"/>
    </row>
    <row r="63246" spans="3:13" ht="12.75" customHeight="1">
      <c r="C63246"/>
      <c r="M63246"/>
    </row>
    <row r="63247" spans="3:13" ht="12.75" customHeight="1">
      <c r="C63247"/>
      <c r="M63247"/>
    </row>
    <row r="63248" spans="3:13" ht="12.75" customHeight="1">
      <c r="C63248"/>
      <c r="M63248"/>
    </row>
    <row r="63249" spans="3:13" ht="12.75" customHeight="1">
      <c r="C63249"/>
      <c r="M63249"/>
    </row>
    <row r="63250" spans="3:13" ht="12.75" customHeight="1">
      <c r="C63250"/>
      <c r="M63250"/>
    </row>
    <row r="63251" spans="3:13" ht="12.75" customHeight="1">
      <c r="C63251"/>
      <c r="M63251"/>
    </row>
    <row r="63252" spans="3:13" ht="12.75" customHeight="1">
      <c r="C63252"/>
      <c r="M63252"/>
    </row>
    <row r="63253" spans="3:13" ht="12.75" customHeight="1">
      <c r="C63253"/>
      <c r="M63253"/>
    </row>
    <row r="63254" spans="3:13" ht="12.75" customHeight="1">
      <c r="C63254"/>
      <c r="M63254"/>
    </row>
    <row r="63255" spans="3:13" ht="12.75" customHeight="1">
      <c r="C63255"/>
      <c r="M63255"/>
    </row>
    <row r="63256" spans="3:13" ht="12.75" customHeight="1">
      <c r="C63256"/>
      <c r="M63256"/>
    </row>
    <row r="63257" spans="3:13" ht="12.75" customHeight="1">
      <c r="C63257"/>
      <c r="M63257"/>
    </row>
    <row r="63258" spans="3:13" ht="12.75" customHeight="1">
      <c r="C63258"/>
      <c r="M63258"/>
    </row>
    <row r="63259" spans="3:13" ht="12.75" customHeight="1">
      <c r="C63259"/>
      <c r="M63259"/>
    </row>
    <row r="63260" spans="3:13" ht="12.75" customHeight="1">
      <c r="C63260"/>
      <c r="M63260"/>
    </row>
    <row r="63261" spans="3:13" ht="12.75" customHeight="1">
      <c r="C63261"/>
      <c r="M63261"/>
    </row>
    <row r="63262" spans="3:13" ht="12.75" customHeight="1">
      <c r="C63262"/>
      <c r="M63262"/>
    </row>
    <row r="63263" spans="3:13" ht="12.75" customHeight="1">
      <c r="C63263"/>
      <c r="M63263"/>
    </row>
    <row r="63264" spans="3:13" ht="12.75" customHeight="1">
      <c r="C63264"/>
      <c r="M63264"/>
    </row>
    <row r="63265" spans="3:13" ht="12.75" customHeight="1">
      <c r="C63265"/>
      <c r="M63265"/>
    </row>
    <row r="63266" spans="3:13" ht="12.75" customHeight="1">
      <c r="C63266"/>
      <c r="M63266"/>
    </row>
    <row r="63267" spans="3:13" ht="12.75" customHeight="1">
      <c r="C63267"/>
      <c r="M63267"/>
    </row>
    <row r="63268" spans="3:13" ht="12.75" customHeight="1">
      <c r="C63268"/>
      <c r="M63268"/>
    </row>
    <row r="63269" spans="3:13" ht="12.75" customHeight="1">
      <c r="C63269"/>
      <c r="M63269"/>
    </row>
    <row r="63270" spans="3:13" ht="12.75" customHeight="1">
      <c r="C63270"/>
      <c r="M63270"/>
    </row>
    <row r="63271" spans="3:13" ht="12.75" customHeight="1">
      <c r="C63271"/>
      <c r="M63271"/>
    </row>
    <row r="63272" spans="3:13" ht="12.75" customHeight="1">
      <c r="C63272"/>
      <c r="M63272"/>
    </row>
    <row r="63273" spans="3:13" ht="12.75" customHeight="1">
      <c r="C63273"/>
      <c r="M63273"/>
    </row>
    <row r="63274" spans="3:13" ht="12.75" customHeight="1">
      <c r="C63274"/>
      <c r="M63274"/>
    </row>
    <row r="63275" spans="3:13" ht="12.75" customHeight="1">
      <c r="C63275"/>
      <c r="M63275"/>
    </row>
    <row r="63276" spans="3:13" ht="12.75" customHeight="1">
      <c r="C63276"/>
      <c r="M63276"/>
    </row>
    <row r="63277" spans="3:13" ht="12.75" customHeight="1">
      <c r="C63277"/>
      <c r="M63277"/>
    </row>
    <row r="63278" spans="3:13" ht="12.75" customHeight="1">
      <c r="C63278"/>
      <c r="M63278"/>
    </row>
    <row r="63279" spans="3:13" ht="12.75" customHeight="1">
      <c r="C63279"/>
      <c r="M63279"/>
    </row>
    <row r="63280" spans="3:13" ht="12.75" customHeight="1">
      <c r="C63280"/>
      <c r="M63280"/>
    </row>
    <row r="63281" spans="3:13" ht="12.75" customHeight="1">
      <c r="C63281"/>
      <c r="M63281"/>
    </row>
    <row r="63282" spans="3:13" ht="12.75" customHeight="1">
      <c r="C63282"/>
      <c r="M63282"/>
    </row>
    <row r="63283" spans="3:13" ht="12.75" customHeight="1">
      <c r="C63283"/>
      <c r="M63283"/>
    </row>
    <row r="63284" spans="3:13" ht="12.75" customHeight="1">
      <c r="C63284"/>
      <c r="M63284"/>
    </row>
    <row r="63285" spans="3:13" ht="12.75" customHeight="1">
      <c r="C63285"/>
      <c r="M63285"/>
    </row>
    <row r="63286" spans="3:13" ht="12.75" customHeight="1">
      <c r="C63286"/>
      <c r="M63286"/>
    </row>
    <row r="63287" spans="3:13" ht="12.75" customHeight="1">
      <c r="C63287"/>
      <c r="M63287"/>
    </row>
    <row r="63288" spans="3:13" ht="12.75" customHeight="1">
      <c r="C63288"/>
      <c r="M63288"/>
    </row>
    <row r="63289" spans="3:13" ht="12.75" customHeight="1">
      <c r="C63289"/>
      <c r="M63289"/>
    </row>
    <row r="63290" spans="3:13" ht="12.75" customHeight="1">
      <c r="C63290"/>
      <c r="M63290"/>
    </row>
    <row r="63291" spans="3:13" ht="12.75" customHeight="1">
      <c r="C63291"/>
      <c r="M63291"/>
    </row>
    <row r="63292" spans="3:13" ht="12.75" customHeight="1">
      <c r="C63292"/>
      <c r="M63292"/>
    </row>
    <row r="63293" spans="3:13" ht="12.75" customHeight="1">
      <c r="C63293"/>
      <c r="M63293"/>
    </row>
    <row r="63294" spans="3:13" ht="12.75" customHeight="1">
      <c r="C63294"/>
      <c r="M63294"/>
    </row>
    <row r="63295" spans="3:13" ht="12.75" customHeight="1">
      <c r="C63295"/>
      <c r="M63295"/>
    </row>
    <row r="63296" spans="3:13" ht="12.75" customHeight="1">
      <c r="C63296"/>
      <c r="M63296"/>
    </row>
    <row r="63297" spans="3:13" ht="12.75" customHeight="1">
      <c r="C63297"/>
      <c r="M63297"/>
    </row>
    <row r="63298" spans="3:13" ht="12.75" customHeight="1">
      <c r="C63298"/>
      <c r="M63298"/>
    </row>
    <row r="63299" spans="3:13" ht="12.75" customHeight="1">
      <c r="C63299"/>
      <c r="M63299"/>
    </row>
    <row r="63300" spans="3:13" ht="12.75" customHeight="1">
      <c r="C63300"/>
      <c r="M63300"/>
    </row>
    <row r="63301" spans="3:13" ht="12.75" customHeight="1">
      <c r="C63301"/>
      <c r="M63301"/>
    </row>
    <row r="63302" spans="3:13" ht="12.75" customHeight="1">
      <c r="C63302"/>
      <c r="M63302"/>
    </row>
    <row r="63303" spans="3:13" ht="12.75" customHeight="1">
      <c r="C63303"/>
      <c r="M63303"/>
    </row>
    <row r="63304" spans="3:13" ht="12.75" customHeight="1">
      <c r="C63304"/>
      <c r="M63304"/>
    </row>
    <row r="63305" spans="3:13" ht="12.75" customHeight="1">
      <c r="C63305"/>
      <c r="M63305"/>
    </row>
    <row r="63306" spans="3:13" ht="12.75" customHeight="1">
      <c r="C63306"/>
      <c r="M63306"/>
    </row>
    <row r="63307" spans="3:13" ht="12.75" customHeight="1">
      <c r="C63307"/>
      <c r="M63307"/>
    </row>
    <row r="63308" spans="3:13" ht="12.75" customHeight="1">
      <c r="C63308"/>
      <c r="M63308"/>
    </row>
    <row r="63309" spans="3:13" ht="12.75" customHeight="1">
      <c r="C63309"/>
      <c r="M63309"/>
    </row>
    <row r="63310" spans="3:13" ht="12.75" customHeight="1">
      <c r="C63310"/>
      <c r="M63310"/>
    </row>
    <row r="63311" spans="3:13" ht="12.75" customHeight="1">
      <c r="C63311"/>
      <c r="M63311"/>
    </row>
    <row r="63312" spans="3:13" ht="12.75" customHeight="1">
      <c r="C63312"/>
      <c r="M63312"/>
    </row>
    <row r="63313" spans="3:13" ht="12.75" customHeight="1">
      <c r="C63313"/>
      <c r="M63313"/>
    </row>
    <row r="63314" spans="3:13" ht="12.75" customHeight="1">
      <c r="C63314"/>
      <c r="M63314"/>
    </row>
    <row r="63315" spans="3:13" ht="12.75" customHeight="1">
      <c r="C63315"/>
      <c r="M63315"/>
    </row>
    <row r="63316" spans="3:13" ht="12.75" customHeight="1">
      <c r="C63316"/>
      <c r="M63316"/>
    </row>
    <row r="63317" spans="3:13" ht="12.75" customHeight="1">
      <c r="C63317"/>
      <c r="M63317"/>
    </row>
    <row r="63318" spans="3:13" ht="12.75" customHeight="1">
      <c r="C63318"/>
      <c r="M63318"/>
    </row>
    <row r="63319" spans="3:13" ht="12.75" customHeight="1">
      <c r="C63319"/>
      <c r="M63319"/>
    </row>
    <row r="63320" spans="3:13" ht="12.75" customHeight="1">
      <c r="C63320"/>
      <c r="M63320"/>
    </row>
    <row r="63321" spans="3:13" ht="12.75" customHeight="1">
      <c r="C63321"/>
      <c r="M63321"/>
    </row>
    <row r="63322" spans="3:13" ht="12.75" customHeight="1">
      <c r="C63322"/>
      <c r="M63322"/>
    </row>
    <row r="63323" spans="3:13" ht="12.75" customHeight="1">
      <c r="C63323"/>
      <c r="M63323"/>
    </row>
    <row r="63324" spans="3:13" ht="12.75" customHeight="1">
      <c r="C63324"/>
      <c r="M63324"/>
    </row>
    <row r="63325" spans="3:13" ht="12.75" customHeight="1">
      <c r="C63325"/>
      <c r="M63325"/>
    </row>
    <row r="63326" spans="3:13" ht="12.75" customHeight="1">
      <c r="C63326"/>
      <c r="M63326"/>
    </row>
    <row r="63327" spans="3:13" ht="12.75" customHeight="1">
      <c r="C63327"/>
      <c r="M63327"/>
    </row>
    <row r="63328" spans="3:13" ht="12.75" customHeight="1">
      <c r="C63328"/>
      <c r="M63328"/>
    </row>
    <row r="63329" spans="3:13" ht="12.75" customHeight="1">
      <c r="C63329"/>
      <c r="M63329"/>
    </row>
    <row r="63330" spans="3:13" ht="12.75" customHeight="1">
      <c r="C63330"/>
      <c r="M63330"/>
    </row>
    <row r="63331" spans="3:13" ht="12.75" customHeight="1">
      <c r="C63331"/>
      <c r="M63331"/>
    </row>
    <row r="63332" spans="3:13" ht="12.75" customHeight="1">
      <c r="C63332"/>
      <c r="M63332"/>
    </row>
    <row r="63333" spans="3:13" ht="12.75" customHeight="1">
      <c r="C63333"/>
      <c r="M63333"/>
    </row>
    <row r="63334" spans="3:13" ht="12.75" customHeight="1">
      <c r="C63334"/>
      <c r="M63334"/>
    </row>
    <row r="63335" spans="3:13" ht="12.75" customHeight="1">
      <c r="C63335"/>
      <c r="M63335"/>
    </row>
    <row r="63336" spans="3:13" ht="12.75" customHeight="1">
      <c r="C63336"/>
      <c r="M63336"/>
    </row>
    <row r="63337" spans="3:13" ht="12.75" customHeight="1">
      <c r="C63337"/>
      <c r="M63337"/>
    </row>
    <row r="63338" spans="3:13" ht="12.75" customHeight="1">
      <c r="C63338"/>
      <c r="M63338"/>
    </row>
    <row r="63339" spans="3:13" ht="12.75" customHeight="1">
      <c r="C63339"/>
      <c r="M63339"/>
    </row>
    <row r="63340" spans="3:13" ht="12.75" customHeight="1">
      <c r="C63340"/>
      <c r="M63340"/>
    </row>
    <row r="63341" spans="3:13" ht="12.75" customHeight="1">
      <c r="C63341"/>
      <c r="M63341"/>
    </row>
    <row r="63342" spans="3:13" ht="12.75" customHeight="1">
      <c r="C63342"/>
      <c r="M63342"/>
    </row>
    <row r="63343" spans="3:13" ht="12.75" customHeight="1">
      <c r="C63343"/>
      <c r="M63343"/>
    </row>
    <row r="63344" spans="3:13" ht="12.75" customHeight="1">
      <c r="C63344"/>
      <c r="M63344"/>
    </row>
    <row r="63345" spans="3:13" ht="12.75" customHeight="1">
      <c r="C63345"/>
      <c r="M63345"/>
    </row>
    <row r="63346" spans="3:13" ht="12.75" customHeight="1">
      <c r="C63346"/>
      <c r="M63346"/>
    </row>
    <row r="63347" spans="3:13" ht="12.75" customHeight="1">
      <c r="C63347"/>
      <c r="M63347"/>
    </row>
    <row r="63348" spans="3:13" ht="12.75" customHeight="1">
      <c r="C63348"/>
      <c r="M63348"/>
    </row>
    <row r="63349" spans="3:13" ht="12.75" customHeight="1">
      <c r="C63349"/>
      <c r="M63349"/>
    </row>
    <row r="63350" spans="3:13" ht="12.75" customHeight="1">
      <c r="C63350"/>
      <c r="M63350"/>
    </row>
    <row r="63351" spans="3:13" ht="12.75" customHeight="1">
      <c r="C63351"/>
      <c r="M63351"/>
    </row>
    <row r="63352" spans="3:13" ht="12.75" customHeight="1">
      <c r="C63352"/>
      <c r="M63352"/>
    </row>
    <row r="63353" spans="3:13" ht="12.75" customHeight="1">
      <c r="C63353"/>
      <c r="M63353"/>
    </row>
    <row r="63354" spans="3:13" ht="12.75" customHeight="1">
      <c r="C63354"/>
      <c r="M63354"/>
    </row>
    <row r="63355" spans="3:13" ht="12.75" customHeight="1">
      <c r="C63355"/>
      <c r="M63355"/>
    </row>
    <row r="63356" spans="3:13" ht="12.75" customHeight="1">
      <c r="C63356"/>
      <c r="M63356"/>
    </row>
    <row r="63357" spans="3:13" ht="12.75" customHeight="1">
      <c r="C63357"/>
      <c r="M63357"/>
    </row>
    <row r="63358" spans="3:13" ht="12.75" customHeight="1">
      <c r="C63358"/>
      <c r="M63358"/>
    </row>
    <row r="63359" spans="3:13" ht="12.75" customHeight="1">
      <c r="C63359"/>
      <c r="M63359"/>
    </row>
    <row r="63360" spans="3:13" ht="12.75" customHeight="1">
      <c r="C63360"/>
      <c r="M63360"/>
    </row>
    <row r="63361" spans="3:13" ht="12.75" customHeight="1">
      <c r="C63361"/>
      <c r="M63361"/>
    </row>
    <row r="63362" spans="3:13" ht="12.75" customHeight="1">
      <c r="C63362"/>
      <c r="M63362"/>
    </row>
    <row r="63363" spans="3:13" ht="12.75" customHeight="1">
      <c r="C63363"/>
      <c r="M63363"/>
    </row>
    <row r="63364" spans="3:13" ht="12.75" customHeight="1">
      <c r="C63364"/>
      <c r="M63364"/>
    </row>
    <row r="63365" spans="3:13" ht="12.75" customHeight="1">
      <c r="C63365"/>
      <c r="M63365"/>
    </row>
    <row r="63366" spans="3:13" ht="12.75" customHeight="1">
      <c r="C63366"/>
      <c r="M63366"/>
    </row>
    <row r="63367" spans="3:13" ht="12.75" customHeight="1">
      <c r="C63367"/>
      <c r="M63367"/>
    </row>
    <row r="63368" spans="3:13" ht="12.75" customHeight="1">
      <c r="C63368"/>
      <c r="M63368"/>
    </row>
    <row r="63369" spans="3:13" ht="12.75" customHeight="1">
      <c r="C63369"/>
      <c r="M63369"/>
    </row>
    <row r="63370" spans="3:13" ht="12.75" customHeight="1">
      <c r="C63370"/>
      <c r="M63370"/>
    </row>
    <row r="63371" spans="3:13" ht="12.75" customHeight="1">
      <c r="C63371"/>
      <c r="M63371"/>
    </row>
    <row r="63372" spans="3:13" ht="12.75" customHeight="1">
      <c r="C63372"/>
      <c r="M63372"/>
    </row>
    <row r="63373" spans="3:13" ht="12.75" customHeight="1">
      <c r="C63373"/>
      <c r="M63373"/>
    </row>
    <row r="63374" spans="3:13" ht="12.75" customHeight="1">
      <c r="C63374"/>
      <c r="M63374"/>
    </row>
    <row r="63375" spans="3:13" ht="12.75" customHeight="1">
      <c r="C63375"/>
      <c r="M63375"/>
    </row>
    <row r="63376" spans="3:13" ht="12.75" customHeight="1">
      <c r="C63376"/>
      <c r="M63376"/>
    </row>
    <row r="63377" spans="3:13" ht="12.75" customHeight="1">
      <c r="C63377"/>
      <c r="M63377"/>
    </row>
    <row r="63378" spans="3:13" ht="12.75" customHeight="1">
      <c r="C63378"/>
      <c r="M63378"/>
    </row>
    <row r="63379" spans="3:13" ht="12.75" customHeight="1">
      <c r="C63379"/>
      <c r="M63379"/>
    </row>
    <row r="63380" spans="3:13" ht="12.75" customHeight="1">
      <c r="C63380"/>
      <c r="M63380"/>
    </row>
    <row r="63381" spans="3:13" ht="12.75" customHeight="1">
      <c r="C63381"/>
      <c r="M63381"/>
    </row>
    <row r="63382" spans="3:13" ht="12.75" customHeight="1">
      <c r="C63382"/>
      <c r="M63382"/>
    </row>
    <row r="63383" spans="3:13" ht="12.75" customHeight="1">
      <c r="C63383"/>
      <c r="M63383"/>
    </row>
    <row r="63384" spans="3:13" ht="12.75" customHeight="1">
      <c r="C63384"/>
      <c r="M63384"/>
    </row>
    <row r="63385" spans="3:13" ht="12.75" customHeight="1">
      <c r="C63385"/>
      <c r="M63385"/>
    </row>
    <row r="63386" spans="3:13" ht="12.75" customHeight="1">
      <c r="C63386"/>
      <c r="M63386"/>
    </row>
    <row r="63387" spans="3:13" ht="12.75" customHeight="1">
      <c r="C63387"/>
      <c r="M63387"/>
    </row>
    <row r="63388" spans="3:13" ht="12.75" customHeight="1">
      <c r="C63388"/>
      <c r="M63388"/>
    </row>
    <row r="63389" spans="3:13" ht="12.75" customHeight="1">
      <c r="C63389"/>
      <c r="M63389"/>
    </row>
    <row r="63390" spans="3:13" ht="12.75" customHeight="1">
      <c r="C63390"/>
      <c r="M63390"/>
    </row>
    <row r="63391" spans="3:13" ht="12.75" customHeight="1">
      <c r="C63391"/>
      <c r="M63391"/>
    </row>
    <row r="63392" spans="3:13" ht="12.75" customHeight="1">
      <c r="C63392"/>
      <c r="M63392"/>
    </row>
    <row r="63393" spans="3:13" ht="12.75" customHeight="1">
      <c r="C63393"/>
      <c r="M63393"/>
    </row>
    <row r="63394" spans="3:13" ht="12.75" customHeight="1">
      <c r="C63394"/>
      <c r="M63394"/>
    </row>
    <row r="63395" spans="3:13" ht="12.75" customHeight="1">
      <c r="C63395"/>
      <c r="M63395"/>
    </row>
    <row r="63396" spans="3:13" ht="12.75" customHeight="1">
      <c r="C63396"/>
      <c r="M63396"/>
    </row>
    <row r="63397" spans="3:13" ht="12.75" customHeight="1">
      <c r="C63397"/>
      <c r="M63397"/>
    </row>
    <row r="63398" spans="3:13" ht="12.75" customHeight="1">
      <c r="C63398"/>
      <c r="M63398"/>
    </row>
    <row r="63399" spans="3:13" ht="12.75" customHeight="1">
      <c r="C63399"/>
      <c r="M63399"/>
    </row>
    <row r="63400" spans="3:13" ht="12.75" customHeight="1">
      <c r="C63400"/>
      <c r="M63400"/>
    </row>
    <row r="63401" spans="3:13" ht="12.75" customHeight="1">
      <c r="C63401"/>
      <c r="M63401"/>
    </row>
    <row r="63402" spans="3:13" ht="12.75" customHeight="1">
      <c r="C63402"/>
      <c r="M63402"/>
    </row>
    <row r="63403" spans="3:13" ht="12.75" customHeight="1">
      <c r="C63403"/>
      <c r="M63403"/>
    </row>
    <row r="63404" spans="3:13" ht="12.75" customHeight="1">
      <c r="C63404"/>
      <c r="M63404"/>
    </row>
    <row r="63405" spans="3:13" ht="12.75" customHeight="1">
      <c r="C63405"/>
      <c r="M63405"/>
    </row>
    <row r="63406" spans="3:13" ht="12.75" customHeight="1">
      <c r="C63406"/>
      <c r="M63406"/>
    </row>
    <row r="63407" spans="3:13" ht="12.75" customHeight="1">
      <c r="C63407"/>
      <c r="M63407"/>
    </row>
    <row r="63408" spans="3:13" ht="12.75" customHeight="1">
      <c r="C63408"/>
      <c r="M63408"/>
    </row>
    <row r="63409" spans="3:13" ht="12.75" customHeight="1">
      <c r="C63409"/>
      <c r="M63409"/>
    </row>
    <row r="63410" spans="3:13" ht="12.75" customHeight="1">
      <c r="C63410"/>
      <c r="M63410"/>
    </row>
    <row r="63411" spans="3:13" ht="12.75" customHeight="1">
      <c r="C63411"/>
      <c r="M63411"/>
    </row>
    <row r="63412" spans="3:13" ht="12.75" customHeight="1">
      <c r="C63412"/>
      <c r="M63412"/>
    </row>
    <row r="63413" spans="3:13" ht="12.75" customHeight="1">
      <c r="C63413"/>
      <c r="M63413"/>
    </row>
    <row r="63414" spans="3:13" ht="12.75" customHeight="1">
      <c r="C63414"/>
      <c r="M63414"/>
    </row>
    <row r="63415" spans="3:13" ht="12.75" customHeight="1">
      <c r="C63415"/>
      <c r="M63415"/>
    </row>
    <row r="63416" spans="3:13" ht="12.75" customHeight="1">
      <c r="C63416"/>
      <c r="M63416"/>
    </row>
    <row r="63417" spans="3:13" ht="12.75" customHeight="1">
      <c r="C63417"/>
      <c r="M63417"/>
    </row>
    <row r="63418" spans="3:13" ht="12.75" customHeight="1">
      <c r="C63418"/>
      <c r="M63418"/>
    </row>
    <row r="63419" spans="3:13" ht="12.75" customHeight="1">
      <c r="C63419"/>
      <c r="M63419"/>
    </row>
    <row r="63420" spans="3:13" ht="12.75" customHeight="1">
      <c r="C63420"/>
      <c r="M63420"/>
    </row>
    <row r="63421" spans="3:13" ht="12.75" customHeight="1">
      <c r="C63421"/>
      <c r="M63421"/>
    </row>
    <row r="63422" spans="3:13" ht="12.75" customHeight="1">
      <c r="C63422"/>
      <c r="M63422"/>
    </row>
    <row r="63423" spans="3:13" ht="12.75" customHeight="1">
      <c r="C63423"/>
      <c r="M63423"/>
    </row>
    <row r="63424" spans="3:13" ht="12.75" customHeight="1">
      <c r="C63424"/>
      <c r="M63424"/>
    </row>
    <row r="63425" spans="3:13" ht="12.75" customHeight="1">
      <c r="C63425"/>
      <c r="M63425"/>
    </row>
    <row r="63426" spans="3:13" ht="12.75" customHeight="1">
      <c r="C63426"/>
      <c r="M63426"/>
    </row>
    <row r="63427" spans="3:13" ht="12.75" customHeight="1">
      <c r="C63427"/>
      <c r="M63427"/>
    </row>
    <row r="63428" spans="3:13" ht="12.75" customHeight="1">
      <c r="C63428"/>
      <c r="M63428"/>
    </row>
    <row r="63429" spans="3:13" ht="12.75" customHeight="1">
      <c r="C63429"/>
      <c r="M63429"/>
    </row>
    <row r="63430" spans="3:13" ht="12.75" customHeight="1">
      <c r="C63430"/>
      <c r="M63430"/>
    </row>
    <row r="63431" spans="3:13" ht="12.75" customHeight="1">
      <c r="C63431"/>
      <c r="M63431"/>
    </row>
    <row r="63432" spans="3:13" ht="12.75" customHeight="1">
      <c r="C63432"/>
      <c r="M63432"/>
    </row>
    <row r="63433" spans="3:13" ht="12.75" customHeight="1">
      <c r="C63433"/>
      <c r="M63433"/>
    </row>
    <row r="63434" spans="3:13" ht="12.75" customHeight="1">
      <c r="C63434"/>
      <c r="M63434"/>
    </row>
    <row r="63435" spans="3:13" ht="12.75" customHeight="1">
      <c r="C63435"/>
      <c r="M63435"/>
    </row>
    <row r="63436" spans="3:13" ht="12.75" customHeight="1">
      <c r="C63436"/>
      <c r="M63436"/>
    </row>
    <row r="63437" spans="3:13" ht="12.75" customHeight="1">
      <c r="C63437"/>
      <c r="M63437"/>
    </row>
    <row r="63438" spans="3:13" ht="12.75" customHeight="1">
      <c r="C63438"/>
      <c r="M63438"/>
    </row>
    <row r="63439" spans="3:13" ht="12.75" customHeight="1">
      <c r="C63439"/>
      <c r="M63439"/>
    </row>
    <row r="63440" spans="3:13" ht="12.75" customHeight="1">
      <c r="C63440"/>
      <c r="M63440"/>
    </row>
    <row r="63441" spans="3:13" ht="12.75" customHeight="1">
      <c r="C63441"/>
      <c r="M63441"/>
    </row>
    <row r="63442" spans="3:13" ht="12.75" customHeight="1">
      <c r="C63442"/>
      <c r="M63442"/>
    </row>
    <row r="63443" spans="3:13" ht="12.75" customHeight="1">
      <c r="C63443"/>
      <c r="M63443"/>
    </row>
    <row r="63444" spans="3:13" ht="12.75" customHeight="1">
      <c r="C63444"/>
      <c r="M63444"/>
    </row>
    <row r="63445" spans="3:13" ht="12.75" customHeight="1">
      <c r="C63445"/>
      <c r="M63445"/>
    </row>
    <row r="63446" spans="3:13" ht="12.75" customHeight="1">
      <c r="C63446"/>
      <c r="M63446"/>
    </row>
    <row r="63447" spans="3:13" ht="12.75" customHeight="1">
      <c r="C63447"/>
      <c r="M63447"/>
    </row>
    <row r="63448" spans="3:13" ht="12.75" customHeight="1">
      <c r="C63448"/>
      <c r="M63448"/>
    </row>
    <row r="63449" spans="3:13" ht="12.75" customHeight="1">
      <c r="C63449"/>
      <c r="M63449"/>
    </row>
    <row r="63450" spans="3:13" ht="12.75" customHeight="1">
      <c r="C63450"/>
      <c r="M63450"/>
    </row>
    <row r="63451" spans="3:13" ht="12.75" customHeight="1">
      <c r="C63451"/>
      <c r="M63451"/>
    </row>
    <row r="63452" spans="3:13" ht="12.75" customHeight="1">
      <c r="C63452"/>
      <c r="M63452"/>
    </row>
    <row r="63453" spans="3:13" ht="12.75" customHeight="1">
      <c r="C63453"/>
      <c r="M63453"/>
    </row>
    <row r="63454" spans="3:13" ht="12.75" customHeight="1">
      <c r="C63454"/>
      <c r="M63454"/>
    </row>
    <row r="63455" spans="3:13" ht="12.75" customHeight="1">
      <c r="C63455"/>
      <c r="M63455"/>
    </row>
    <row r="63456" spans="3:13" ht="12.75" customHeight="1">
      <c r="C63456"/>
      <c r="M63456"/>
    </row>
    <row r="63457" spans="3:13" ht="12.75" customHeight="1">
      <c r="C63457"/>
      <c r="M63457"/>
    </row>
    <row r="63458" spans="3:13" ht="12.75" customHeight="1">
      <c r="C63458"/>
      <c r="M63458"/>
    </row>
    <row r="63459" spans="3:13" ht="12.75" customHeight="1">
      <c r="C63459"/>
      <c r="M63459"/>
    </row>
    <row r="63460" spans="3:13" ht="12.75" customHeight="1">
      <c r="C63460"/>
      <c r="M63460"/>
    </row>
    <row r="63461" spans="3:13" ht="12.75" customHeight="1">
      <c r="C63461"/>
      <c r="M63461"/>
    </row>
    <row r="63462" spans="3:13" ht="12.75" customHeight="1">
      <c r="C63462"/>
      <c r="M63462"/>
    </row>
    <row r="63463" spans="3:13" ht="12.75" customHeight="1">
      <c r="C63463"/>
      <c r="M63463"/>
    </row>
    <row r="63464" spans="3:13" ht="12.75" customHeight="1">
      <c r="C63464"/>
      <c r="M63464"/>
    </row>
    <row r="63465" spans="3:13" ht="12.75" customHeight="1">
      <c r="C63465"/>
      <c r="M63465"/>
    </row>
    <row r="63466" spans="3:13" ht="12.75" customHeight="1">
      <c r="C63466"/>
      <c r="M63466"/>
    </row>
    <row r="63467" spans="3:13" ht="12.75" customHeight="1">
      <c r="C63467"/>
      <c r="M63467"/>
    </row>
    <row r="63468" spans="3:13" ht="12.75" customHeight="1">
      <c r="C63468"/>
      <c r="M63468"/>
    </row>
    <row r="63469" spans="3:13" ht="12.75" customHeight="1">
      <c r="C63469"/>
      <c r="M63469"/>
    </row>
    <row r="63470" spans="3:13" ht="12.75" customHeight="1">
      <c r="C63470"/>
      <c r="M63470"/>
    </row>
    <row r="63471" spans="3:13" ht="12.75" customHeight="1">
      <c r="C63471"/>
      <c r="M63471"/>
    </row>
    <row r="63472" spans="3:13" ht="12.75" customHeight="1">
      <c r="C63472"/>
      <c r="M63472"/>
    </row>
    <row r="63473" spans="3:13" ht="12.75" customHeight="1">
      <c r="C63473"/>
      <c r="M63473"/>
    </row>
    <row r="63474" spans="3:13" ht="12.75" customHeight="1">
      <c r="C63474"/>
      <c r="M63474"/>
    </row>
    <row r="63475" spans="3:13" ht="12.75" customHeight="1">
      <c r="C63475"/>
      <c r="M63475"/>
    </row>
    <row r="63476" spans="3:13" ht="12.75" customHeight="1">
      <c r="C63476"/>
      <c r="M63476"/>
    </row>
    <row r="63477" spans="3:13" ht="12.75" customHeight="1">
      <c r="C63477"/>
      <c r="M63477"/>
    </row>
    <row r="63478" spans="3:13" ht="12.75" customHeight="1">
      <c r="C63478"/>
      <c r="M63478"/>
    </row>
    <row r="63479" spans="3:13" ht="12.75" customHeight="1">
      <c r="C63479"/>
      <c r="M63479"/>
    </row>
    <row r="63480" spans="3:13" ht="12.75" customHeight="1">
      <c r="C63480"/>
      <c r="M63480"/>
    </row>
    <row r="63481" spans="3:13" ht="12.75" customHeight="1">
      <c r="C63481"/>
      <c r="M63481"/>
    </row>
    <row r="63482" spans="3:13" ht="12.75" customHeight="1">
      <c r="C63482"/>
      <c r="M63482"/>
    </row>
    <row r="63483" spans="3:13" ht="12.75" customHeight="1">
      <c r="C63483"/>
      <c r="M63483"/>
    </row>
    <row r="63484" spans="3:13" ht="12.75" customHeight="1">
      <c r="C63484"/>
      <c r="M63484"/>
    </row>
    <row r="63485" spans="3:13" ht="12.75" customHeight="1">
      <c r="C63485"/>
      <c r="M63485"/>
    </row>
    <row r="63486" spans="3:13" ht="12.75" customHeight="1">
      <c r="C63486"/>
      <c r="M63486"/>
    </row>
    <row r="63487" spans="3:13" ht="12.75" customHeight="1">
      <c r="C63487"/>
      <c r="M63487"/>
    </row>
    <row r="63488" spans="3:13" ht="12.75" customHeight="1">
      <c r="C63488"/>
      <c r="M63488"/>
    </row>
    <row r="63489" spans="3:13" ht="12.75" customHeight="1">
      <c r="C63489"/>
      <c r="M63489"/>
    </row>
    <row r="63490" spans="3:13" ht="12.75" customHeight="1">
      <c r="C63490"/>
      <c r="M63490"/>
    </row>
    <row r="63491" spans="3:13" ht="12.75" customHeight="1">
      <c r="C63491"/>
      <c r="M63491"/>
    </row>
    <row r="63492" spans="3:13" ht="12.75" customHeight="1">
      <c r="C63492"/>
      <c r="M63492"/>
    </row>
    <row r="63493" spans="3:13" ht="12.75" customHeight="1">
      <c r="C63493"/>
      <c r="M63493"/>
    </row>
    <row r="63494" spans="3:13" ht="12.75" customHeight="1">
      <c r="C63494"/>
      <c r="M63494"/>
    </row>
    <row r="63495" spans="3:13" ht="12.75" customHeight="1">
      <c r="C63495"/>
      <c r="M63495"/>
    </row>
    <row r="63496" spans="3:13" ht="12.75" customHeight="1">
      <c r="C63496"/>
      <c r="M63496"/>
    </row>
    <row r="63497" spans="3:13" ht="12.75" customHeight="1">
      <c r="C63497"/>
      <c r="M63497"/>
    </row>
    <row r="63498" spans="3:13" ht="12.75" customHeight="1">
      <c r="C63498"/>
      <c r="M63498"/>
    </row>
    <row r="63499" spans="3:13" ht="12.75" customHeight="1">
      <c r="C63499"/>
      <c r="M63499"/>
    </row>
    <row r="63500" spans="3:13" ht="12.75" customHeight="1">
      <c r="C63500"/>
      <c r="M63500"/>
    </row>
    <row r="63501" spans="3:13" ht="12.75" customHeight="1">
      <c r="C63501"/>
      <c r="M63501"/>
    </row>
    <row r="63502" spans="3:13" ht="12.75" customHeight="1">
      <c r="C63502"/>
      <c r="M63502"/>
    </row>
    <row r="63503" spans="3:13" ht="12.75" customHeight="1">
      <c r="C63503"/>
      <c r="M63503"/>
    </row>
    <row r="63504" spans="3:13" ht="12.75" customHeight="1">
      <c r="C63504"/>
      <c r="M63504"/>
    </row>
    <row r="63505" spans="3:13" ht="12.75" customHeight="1">
      <c r="C63505"/>
      <c r="M63505"/>
    </row>
    <row r="63506" spans="3:13" ht="12.75" customHeight="1">
      <c r="C63506"/>
      <c r="M63506"/>
    </row>
    <row r="63507" spans="3:13" ht="12.75" customHeight="1">
      <c r="C63507"/>
      <c r="M63507"/>
    </row>
    <row r="63508" spans="3:13" ht="12.75" customHeight="1">
      <c r="C63508"/>
      <c r="M63508"/>
    </row>
    <row r="63509" spans="3:13" ht="12.75" customHeight="1">
      <c r="C63509"/>
      <c r="M63509"/>
    </row>
    <row r="63510" spans="3:13" ht="12.75" customHeight="1">
      <c r="C63510"/>
      <c r="M63510"/>
    </row>
    <row r="63511" spans="3:13" ht="12.75" customHeight="1">
      <c r="C63511"/>
      <c r="M63511"/>
    </row>
    <row r="63512" spans="3:13" ht="12.75" customHeight="1">
      <c r="C63512"/>
      <c r="M63512"/>
    </row>
    <row r="63513" spans="3:13" ht="12.75" customHeight="1">
      <c r="C63513"/>
      <c r="M63513"/>
    </row>
    <row r="63514" spans="3:13" ht="12.75" customHeight="1">
      <c r="C63514"/>
      <c r="M63514"/>
    </row>
    <row r="63515" spans="3:13" ht="12.75" customHeight="1">
      <c r="C63515"/>
      <c r="M63515"/>
    </row>
    <row r="63516" spans="3:13" ht="12.75" customHeight="1">
      <c r="C63516"/>
      <c r="M63516"/>
    </row>
    <row r="63517" spans="3:13" ht="12.75" customHeight="1">
      <c r="C63517"/>
      <c r="M63517"/>
    </row>
    <row r="63518" spans="3:13" ht="12.75" customHeight="1">
      <c r="C63518"/>
      <c r="M63518"/>
    </row>
    <row r="63519" spans="3:13" ht="12.75" customHeight="1">
      <c r="C63519"/>
      <c r="M63519"/>
    </row>
    <row r="63520" spans="3:13" ht="12.75" customHeight="1">
      <c r="C63520"/>
      <c r="M63520"/>
    </row>
    <row r="63521" spans="3:13" ht="12.75" customHeight="1">
      <c r="C63521"/>
      <c r="M63521"/>
    </row>
    <row r="63522" spans="3:13" ht="12.75" customHeight="1">
      <c r="C63522"/>
      <c r="M63522"/>
    </row>
    <row r="63523" spans="3:13" ht="12.75" customHeight="1">
      <c r="C63523"/>
      <c r="M63523"/>
    </row>
    <row r="63524" spans="3:13" ht="12.75" customHeight="1">
      <c r="C63524"/>
      <c r="M63524"/>
    </row>
    <row r="63525" spans="3:13" ht="12.75" customHeight="1">
      <c r="C63525"/>
      <c r="M63525"/>
    </row>
    <row r="63526" spans="3:13" ht="12.75" customHeight="1">
      <c r="C63526"/>
      <c r="M63526"/>
    </row>
    <row r="63527" spans="3:13" ht="12.75" customHeight="1">
      <c r="C63527"/>
      <c r="M63527"/>
    </row>
    <row r="63528" spans="3:13" ht="12.75" customHeight="1">
      <c r="C63528"/>
      <c r="M63528"/>
    </row>
    <row r="63529" spans="3:13" ht="12.75" customHeight="1">
      <c r="C63529"/>
      <c r="M63529"/>
    </row>
    <row r="63530" spans="3:13" ht="12.75" customHeight="1">
      <c r="C63530"/>
      <c r="M63530"/>
    </row>
    <row r="63531" spans="3:13" ht="12.75" customHeight="1">
      <c r="C63531"/>
      <c r="M63531"/>
    </row>
    <row r="63532" spans="3:13" ht="12.75" customHeight="1">
      <c r="C63532"/>
      <c r="M63532"/>
    </row>
    <row r="63533" spans="3:13" ht="12.75" customHeight="1">
      <c r="C63533"/>
      <c r="M63533"/>
    </row>
    <row r="63534" spans="3:13" ht="12.75" customHeight="1">
      <c r="C63534"/>
      <c r="M63534"/>
    </row>
    <row r="63535" spans="3:13" ht="12.75" customHeight="1">
      <c r="C63535"/>
      <c r="M63535"/>
    </row>
    <row r="63536" spans="3:13" ht="12.75" customHeight="1">
      <c r="C63536"/>
      <c r="M63536"/>
    </row>
    <row r="63537" spans="3:13" ht="12.75" customHeight="1">
      <c r="C63537"/>
      <c r="M63537"/>
    </row>
    <row r="63538" spans="3:13" ht="12.75" customHeight="1">
      <c r="C63538"/>
      <c r="M63538"/>
    </row>
    <row r="63539" spans="3:13" ht="12.75" customHeight="1">
      <c r="C63539"/>
      <c r="M63539"/>
    </row>
    <row r="63540" spans="3:13" ht="12.75" customHeight="1">
      <c r="C63540"/>
      <c r="M63540"/>
    </row>
    <row r="63541" spans="3:13" ht="12.75" customHeight="1">
      <c r="C63541"/>
      <c r="M63541"/>
    </row>
    <row r="63542" spans="3:13" ht="12.75" customHeight="1">
      <c r="C63542"/>
      <c r="M63542"/>
    </row>
    <row r="63543" spans="3:13" ht="12.75" customHeight="1">
      <c r="C63543"/>
      <c r="M63543"/>
    </row>
    <row r="63544" spans="3:13" ht="12.75" customHeight="1">
      <c r="C63544"/>
      <c r="M63544"/>
    </row>
    <row r="63545" spans="3:13" ht="12.75" customHeight="1">
      <c r="C63545"/>
      <c r="M63545"/>
    </row>
    <row r="63546" spans="3:13" ht="12.75" customHeight="1">
      <c r="C63546"/>
      <c r="M63546"/>
    </row>
    <row r="63547" spans="3:13" ht="12.75" customHeight="1">
      <c r="C63547"/>
      <c r="M63547"/>
    </row>
    <row r="63548" spans="3:13" ht="12.75" customHeight="1">
      <c r="C63548"/>
      <c r="M63548"/>
    </row>
    <row r="63549" spans="3:13" ht="12.75" customHeight="1">
      <c r="C63549"/>
      <c r="M63549"/>
    </row>
    <row r="63550" spans="3:13" ht="12.75" customHeight="1">
      <c r="C63550"/>
      <c r="M63550"/>
    </row>
    <row r="63551" spans="3:13" ht="12.75" customHeight="1">
      <c r="C63551"/>
      <c r="M63551"/>
    </row>
    <row r="63552" spans="3:13" ht="12.75" customHeight="1">
      <c r="C63552"/>
      <c r="M63552"/>
    </row>
    <row r="63553" spans="3:13" ht="12.75" customHeight="1">
      <c r="C63553"/>
      <c r="M63553"/>
    </row>
    <row r="63554" spans="3:13" ht="12.75" customHeight="1">
      <c r="C63554"/>
      <c r="M63554"/>
    </row>
    <row r="63555" spans="3:13" ht="12.75" customHeight="1">
      <c r="C63555"/>
      <c r="M63555"/>
    </row>
    <row r="63556" spans="3:13" ht="12.75" customHeight="1">
      <c r="C63556"/>
      <c r="M63556"/>
    </row>
    <row r="63557" spans="3:13" ht="12.75" customHeight="1">
      <c r="C63557"/>
      <c r="M63557"/>
    </row>
    <row r="63558" spans="3:13" ht="12.75" customHeight="1">
      <c r="C63558"/>
      <c r="M63558"/>
    </row>
    <row r="63559" spans="3:13" ht="12.75" customHeight="1">
      <c r="C63559"/>
      <c r="M63559"/>
    </row>
    <row r="63560" spans="3:13" ht="12.75" customHeight="1">
      <c r="C63560"/>
      <c r="M63560"/>
    </row>
    <row r="63561" spans="3:13" ht="12.75" customHeight="1">
      <c r="C63561"/>
      <c r="M63561"/>
    </row>
    <row r="63562" spans="3:13" ht="12.75" customHeight="1">
      <c r="C63562"/>
      <c r="M63562"/>
    </row>
    <row r="63563" spans="3:13" ht="12.75" customHeight="1">
      <c r="C63563"/>
      <c r="M63563"/>
    </row>
    <row r="63564" spans="3:13" ht="12.75" customHeight="1">
      <c r="C63564"/>
      <c r="M63564"/>
    </row>
    <row r="63565" spans="3:13" ht="12.75" customHeight="1">
      <c r="C63565"/>
      <c r="M63565"/>
    </row>
    <row r="63566" spans="3:13" ht="12.75" customHeight="1">
      <c r="C63566"/>
      <c r="M63566"/>
    </row>
    <row r="63567" spans="3:13" ht="12.75" customHeight="1">
      <c r="C63567"/>
      <c r="M63567"/>
    </row>
    <row r="63568" spans="3:13" ht="12.75" customHeight="1">
      <c r="C63568"/>
      <c r="M63568"/>
    </row>
    <row r="63569" spans="3:13" ht="12.75" customHeight="1">
      <c r="C63569"/>
      <c r="M63569"/>
    </row>
    <row r="63570" spans="3:13" ht="12.75" customHeight="1">
      <c r="C63570"/>
      <c r="M63570"/>
    </row>
    <row r="63571" spans="3:13" ht="12.75" customHeight="1">
      <c r="C63571"/>
      <c r="M63571"/>
    </row>
    <row r="63572" spans="3:13" ht="12.75" customHeight="1">
      <c r="C63572"/>
      <c r="M63572"/>
    </row>
    <row r="63573" spans="3:13" ht="12.75" customHeight="1">
      <c r="C63573"/>
      <c r="M63573"/>
    </row>
    <row r="63574" spans="3:13" ht="12.75" customHeight="1">
      <c r="C63574"/>
      <c r="M63574"/>
    </row>
    <row r="63575" spans="3:13" ht="12.75" customHeight="1">
      <c r="C63575"/>
      <c r="M63575"/>
    </row>
    <row r="63576" spans="3:13" ht="12.75" customHeight="1">
      <c r="C63576"/>
      <c r="M63576"/>
    </row>
    <row r="63577" spans="3:13" ht="12.75" customHeight="1">
      <c r="C63577"/>
      <c r="M63577"/>
    </row>
    <row r="63578" spans="3:13" ht="12.75" customHeight="1">
      <c r="C63578"/>
      <c r="M63578"/>
    </row>
    <row r="63579" spans="3:13" ht="12.75" customHeight="1">
      <c r="C63579"/>
      <c r="M63579"/>
    </row>
    <row r="63580" spans="3:13" ht="12.75" customHeight="1">
      <c r="C63580"/>
      <c r="M63580"/>
    </row>
    <row r="63581" spans="3:13" ht="12.75" customHeight="1">
      <c r="C63581"/>
      <c r="M63581"/>
    </row>
    <row r="63582" spans="3:13" ht="12.75" customHeight="1">
      <c r="C63582"/>
      <c r="M63582"/>
    </row>
    <row r="63583" spans="3:13" ht="12.75" customHeight="1">
      <c r="C63583"/>
      <c r="M63583"/>
    </row>
    <row r="63584" spans="3:13" ht="12.75" customHeight="1">
      <c r="C63584"/>
      <c r="M63584"/>
    </row>
    <row r="63585" spans="3:13" ht="12.75" customHeight="1">
      <c r="C63585"/>
      <c r="M63585"/>
    </row>
    <row r="63586" spans="3:13" ht="12.75" customHeight="1">
      <c r="C63586"/>
      <c r="M63586"/>
    </row>
    <row r="63587" spans="3:13" ht="12.75" customHeight="1">
      <c r="C63587"/>
      <c r="M63587"/>
    </row>
    <row r="63588" spans="3:13" ht="12.75" customHeight="1">
      <c r="C63588"/>
      <c r="M63588"/>
    </row>
    <row r="63589" spans="3:13" ht="12.75" customHeight="1">
      <c r="C63589"/>
      <c r="M63589"/>
    </row>
    <row r="63590" spans="3:13" ht="12.75" customHeight="1">
      <c r="C63590"/>
      <c r="M63590"/>
    </row>
    <row r="63591" spans="3:13" ht="12.75" customHeight="1">
      <c r="C63591"/>
      <c r="M63591"/>
    </row>
    <row r="63592" spans="3:13" ht="12.75" customHeight="1">
      <c r="C63592"/>
      <c r="M63592"/>
    </row>
    <row r="63593" spans="3:13" ht="12.75" customHeight="1">
      <c r="C63593"/>
      <c r="M63593"/>
    </row>
    <row r="63594" spans="3:13" ht="12.75" customHeight="1">
      <c r="C63594"/>
      <c r="M63594"/>
    </row>
    <row r="63595" spans="3:13" ht="12.75" customHeight="1">
      <c r="C63595"/>
      <c r="M63595"/>
    </row>
    <row r="63596" spans="3:13" ht="12.75" customHeight="1">
      <c r="C63596"/>
      <c r="M63596"/>
    </row>
    <row r="63597" spans="3:13" ht="12.75" customHeight="1">
      <c r="C63597"/>
      <c r="M63597"/>
    </row>
    <row r="63598" spans="3:13" ht="12.75" customHeight="1">
      <c r="C63598"/>
      <c r="M63598"/>
    </row>
    <row r="63599" spans="3:13" ht="12.75" customHeight="1">
      <c r="C63599"/>
      <c r="M63599"/>
    </row>
    <row r="63600" spans="3:13" ht="12.75" customHeight="1">
      <c r="C63600"/>
      <c r="M63600"/>
    </row>
    <row r="63601" spans="3:13" ht="12.75" customHeight="1">
      <c r="C63601"/>
      <c r="M63601"/>
    </row>
    <row r="63602" spans="3:13" ht="12.75" customHeight="1">
      <c r="C63602"/>
      <c r="M63602"/>
    </row>
    <row r="63603" spans="3:13" ht="12.75" customHeight="1">
      <c r="C63603"/>
      <c r="M63603"/>
    </row>
    <row r="63604" spans="3:13" ht="12.75" customHeight="1">
      <c r="C63604"/>
      <c r="M63604"/>
    </row>
    <row r="63605" spans="3:13" ht="12.75" customHeight="1">
      <c r="C63605"/>
      <c r="M63605"/>
    </row>
    <row r="63606" spans="3:13" ht="12.75" customHeight="1">
      <c r="C63606"/>
      <c r="M63606"/>
    </row>
    <row r="63607" spans="3:13" ht="12.75" customHeight="1">
      <c r="C63607"/>
      <c r="M63607"/>
    </row>
    <row r="63608" spans="3:13" ht="12.75" customHeight="1">
      <c r="C63608"/>
      <c r="M63608"/>
    </row>
    <row r="63609" spans="3:13" ht="12.75" customHeight="1">
      <c r="C63609"/>
      <c r="M63609"/>
    </row>
    <row r="63610" spans="3:13" ht="12.75" customHeight="1">
      <c r="C63610"/>
      <c r="M63610"/>
    </row>
    <row r="63611" spans="3:13" ht="12.75" customHeight="1">
      <c r="C63611"/>
      <c r="M63611"/>
    </row>
    <row r="63612" spans="3:13" ht="12.75" customHeight="1">
      <c r="C63612"/>
      <c r="M63612"/>
    </row>
    <row r="63613" spans="3:13" ht="12.75" customHeight="1">
      <c r="C63613"/>
      <c r="M63613"/>
    </row>
    <row r="63614" spans="3:13" ht="12.75" customHeight="1">
      <c r="C63614"/>
      <c r="M63614"/>
    </row>
    <row r="63615" spans="3:13" ht="12.75" customHeight="1">
      <c r="C63615"/>
      <c r="M63615"/>
    </row>
    <row r="63616" spans="3:13" ht="12.75" customHeight="1">
      <c r="C63616"/>
      <c r="M63616"/>
    </row>
    <row r="63617" spans="3:13" ht="12.75" customHeight="1">
      <c r="C63617"/>
      <c r="M63617"/>
    </row>
    <row r="63618" spans="3:13" ht="12.75" customHeight="1">
      <c r="C63618"/>
      <c r="M63618"/>
    </row>
    <row r="63619" spans="3:13" ht="12.75" customHeight="1">
      <c r="C63619"/>
      <c r="M63619"/>
    </row>
    <row r="63620" spans="3:13" ht="12.75" customHeight="1">
      <c r="C63620"/>
      <c r="M63620"/>
    </row>
    <row r="63621" spans="3:13" ht="12.75" customHeight="1">
      <c r="C63621"/>
      <c r="M63621"/>
    </row>
    <row r="63622" spans="3:13" ht="12.75" customHeight="1">
      <c r="C63622"/>
      <c r="M63622"/>
    </row>
    <row r="63623" spans="3:13" ht="12.75" customHeight="1">
      <c r="C63623"/>
      <c r="M63623"/>
    </row>
    <row r="63624" spans="3:13" ht="12.75" customHeight="1">
      <c r="C63624"/>
      <c r="M63624"/>
    </row>
    <row r="63625" spans="3:13" ht="12.75" customHeight="1">
      <c r="C63625"/>
      <c r="M63625"/>
    </row>
    <row r="63626" spans="3:13" ht="12.75" customHeight="1">
      <c r="C63626"/>
      <c r="M63626"/>
    </row>
    <row r="63627" spans="3:13" ht="12.75" customHeight="1">
      <c r="C63627"/>
      <c r="M63627"/>
    </row>
    <row r="63628" spans="3:13" ht="12.75" customHeight="1">
      <c r="C63628"/>
      <c r="M63628"/>
    </row>
    <row r="63629" spans="3:13" ht="12.75" customHeight="1">
      <c r="C63629"/>
      <c r="M63629"/>
    </row>
    <row r="63630" spans="3:13" ht="12.75" customHeight="1">
      <c r="C63630"/>
      <c r="M63630"/>
    </row>
    <row r="63631" spans="3:13" ht="12.75" customHeight="1">
      <c r="C63631"/>
      <c r="M63631"/>
    </row>
    <row r="63632" spans="3:13" ht="12.75" customHeight="1">
      <c r="C63632"/>
      <c r="M63632"/>
    </row>
    <row r="63633" spans="3:13" ht="12.75" customHeight="1">
      <c r="C63633"/>
      <c r="M63633"/>
    </row>
    <row r="63634" spans="3:13" ht="12.75" customHeight="1">
      <c r="C63634"/>
      <c r="M63634"/>
    </row>
    <row r="63635" spans="3:13" ht="12.75" customHeight="1">
      <c r="C63635"/>
      <c r="M63635"/>
    </row>
    <row r="63636" spans="3:13" ht="12.75" customHeight="1">
      <c r="C63636"/>
      <c r="M63636"/>
    </row>
    <row r="63637" spans="3:13" ht="12.75" customHeight="1">
      <c r="C63637"/>
      <c r="M63637"/>
    </row>
    <row r="63638" spans="3:13" ht="12.75" customHeight="1">
      <c r="C63638"/>
      <c r="M63638"/>
    </row>
    <row r="63639" spans="3:13" ht="12.75" customHeight="1">
      <c r="C63639"/>
      <c r="M63639"/>
    </row>
    <row r="63640" spans="3:13" ht="12.75" customHeight="1">
      <c r="C63640"/>
      <c r="M63640"/>
    </row>
    <row r="63641" spans="3:13" ht="12.75" customHeight="1">
      <c r="C63641"/>
      <c r="M63641"/>
    </row>
    <row r="63642" spans="3:13" ht="12.75" customHeight="1">
      <c r="C63642"/>
      <c r="M63642"/>
    </row>
    <row r="63643" spans="3:13" ht="12.75" customHeight="1">
      <c r="C63643"/>
      <c r="M63643"/>
    </row>
    <row r="63644" spans="3:13" ht="12.75" customHeight="1">
      <c r="C63644"/>
      <c r="M63644"/>
    </row>
    <row r="63645" spans="3:13" ht="12.75" customHeight="1">
      <c r="C63645"/>
      <c r="M63645"/>
    </row>
    <row r="63646" spans="3:13" ht="12.75" customHeight="1">
      <c r="C63646"/>
      <c r="M63646"/>
    </row>
    <row r="63647" spans="3:13" ht="12.75" customHeight="1">
      <c r="C63647"/>
      <c r="M63647"/>
    </row>
    <row r="63648" spans="3:13" ht="12.75" customHeight="1">
      <c r="C63648"/>
      <c r="M63648"/>
    </row>
    <row r="63649" spans="3:13" ht="12.75" customHeight="1">
      <c r="C63649"/>
      <c r="M63649"/>
    </row>
    <row r="63650" spans="3:13" ht="12.75" customHeight="1">
      <c r="C63650"/>
      <c r="M63650"/>
    </row>
    <row r="63651" spans="3:13" ht="12.75" customHeight="1">
      <c r="C63651"/>
      <c r="M63651"/>
    </row>
    <row r="63652" spans="3:13" ht="12.75" customHeight="1">
      <c r="C63652"/>
      <c r="M63652"/>
    </row>
    <row r="63653" spans="3:13" ht="12.75" customHeight="1">
      <c r="C63653"/>
      <c r="M63653"/>
    </row>
    <row r="63654" spans="3:13" ht="12.75" customHeight="1">
      <c r="C63654"/>
      <c r="M63654"/>
    </row>
    <row r="63655" spans="3:13" ht="12.75" customHeight="1">
      <c r="C63655"/>
      <c r="M63655"/>
    </row>
    <row r="63656" spans="3:13" ht="12.75" customHeight="1">
      <c r="C63656"/>
      <c r="M63656"/>
    </row>
    <row r="63657" spans="3:13" ht="12.75" customHeight="1">
      <c r="C63657"/>
      <c r="M63657"/>
    </row>
    <row r="63658" spans="3:13" ht="12.75" customHeight="1">
      <c r="C63658"/>
      <c r="M63658"/>
    </row>
    <row r="63659" spans="3:13" ht="12.75" customHeight="1">
      <c r="C63659"/>
      <c r="M63659"/>
    </row>
    <row r="63660" spans="3:13" ht="12.75" customHeight="1">
      <c r="C63660"/>
      <c r="M63660"/>
    </row>
    <row r="63661" spans="3:13" ht="12.75" customHeight="1">
      <c r="C63661"/>
      <c r="M63661"/>
    </row>
    <row r="63662" spans="3:13" ht="12.75" customHeight="1">
      <c r="C63662"/>
      <c r="M63662"/>
    </row>
    <row r="63663" spans="3:13" ht="12.75" customHeight="1">
      <c r="C63663"/>
      <c r="M63663"/>
    </row>
    <row r="63664" spans="3:13" ht="12.75" customHeight="1">
      <c r="C63664"/>
      <c r="M63664"/>
    </row>
    <row r="63665" spans="3:13" ht="12.75" customHeight="1">
      <c r="C63665"/>
      <c r="M63665"/>
    </row>
    <row r="63666" spans="3:13" ht="12.75" customHeight="1">
      <c r="C63666"/>
      <c r="M63666"/>
    </row>
    <row r="63667" spans="3:13" ht="12.75" customHeight="1">
      <c r="C63667"/>
      <c r="M63667"/>
    </row>
    <row r="63668" spans="3:13" ht="12.75" customHeight="1">
      <c r="C63668"/>
      <c r="M63668"/>
    </row>
    <row r="63669" spans="3:13" ht="12.75" customHeight="1">
      <c r="C63669"/>
      <c r="M63669"/>
    </row>
    <row r="63670" spans="3:13" ht="12.75" customHeight="1">
      <c r="C63670"/>
      <c r="M63670"/>
    </row>
    <row r="63671" spans="3:13" ht="12.75" customHeight="1">
      <c r="C63671"/>
      <c r="M63671"/>
    </row>
    <row r="63672" spans="3:13" ht="12.75" customHeight="1">
      <c r="C63672"/>
      <c r="M63672"/>
    </row>
    <row r="63673" spans="3:13" ht="12.75" customHeight="1">
      <c r="C63673"/>
      <c r="M63673"/>
    </row>
    <row r="63674" spans="3:13" ht="12.75" customHeight="1">
      <c r="C63674"/>
      <c r="M63674"/>
    </row>
    <row r="63675" spans="3:13" ht="12.75" customHeight="1">
      <c r="C63675"/>
      <c r="M63675"/>
    </row>
    <row r="63676" spans="3:13" ht="12.75" customHeight="1">
      <c r="C63676"/>
      <c r="M63676"/>
    </row>
    <row r="63677" spans="3:13" ht="12.75" customHeight="1">
      <c r="C63677"/>
      <c r="M63677"/>
    </row>
    <row r="63678" spans="3:13" ht="12.75" customHeight="1">
      <c r="C63678"/>
      <c r="M63678"/>
    </row>
    <row r="63679" spans="3:13" ht="12.75" customHeight="1">
      <c r="C63679"/>
      <c r="M63679"/>
    </row>
    <row r="63680" spans="3:13" ht="12.75" customHeight="1">
      <c r="C63680"/>
      <c r="M63680"/>
    </row>
    <row r="63681" spans="3:13" ht="12.75" customHeight="1">
      <c r="C63681"/>
      <c r="M63681"/>
    </row>
    <row r="63682" spans="3:13" ht="12.75" customHeight="1">
      <c r="C63682"/>
      <c r="M63682"/>
    </row>
    <row r="63683" spans="3:13" ht="12.75" customHeight="1">
      <c r="C63683"/>
      <c r="M63683"/>
    </row>
    <row r="63684" spans="3:13" ht="12.75" customHeight="1">
      <c r="C63684"/>
      <c r="M63684"/>
    </row>
    <row r="63685" spans="3:13" ht="12.75" customHeight="1">
      <c r="C63685"/>
      <c r="M63685"/>
    </row>
    <row r="63686" spans="3:13" ht="12.75" customHeight="1">
      <c r="C63686"/>
      <c r="M63686"/>
    </row>
    <row r="63687" spans="3:13" ht="12.75" customHeight="1">
      <c r="C63687"/>
      <c r="M63687"/>
    </row>
    <row r="63688" spans="3:13" ht="12.75" customHeight="1">
      <c r="C63688"/>
      <c r="M63688"/>
    </row>
    <row r="63689" spans="3:13" ht="12.75" customHeight="1">
      <c r="C63689"/>
      <c r="M63689"/>
    </row>
    <row r="63690" spans="3:13" ht="12.75" customHeight="1">
      <c r="C63690"/>
      <c r="M63690"/>
    </row>
    <row r="63691" spans="3:13" ht="12.75" customHeight="1">
      <c r="C63691"/>
      <c r="M63691"/>
    </row>
    <row r="63692" spans="3:13" ht="12.75" customHeight="1">
      <c r="C63692"/>
      <c r="M63692"/>
    </row>
    <row r="63693" spans="3:13" ht="12.75" customHeight="1">
      <c r="C63693"/>
      <c r="M63693"/>
    </row>
    <row r="63694" spans="3:13" ht="12.75" customHeight="1">
      <c r="C63694"/>
      <c r="M63694"/>
    </row>
    <row r="63695" spans="3:13" ht="12.75" customHeight="1">
      <c r="C63695"/>
      <c r="M63695"/>
    </row>
    <row r="63696" spans="3:13" ht="12.75" customHeight="1">
      <c r="C63696"/>
      <c r="M63696"/>
    </row>
    <row r="63697" spans="3:13" ht="12.75" customHeight="1">
      <c r="C63697"/>
      <c r="M63697"/>
    </row>
    <row r="63698" spans="3:13" ht="12.75" customHeight="1">
      <c r="C63698"/>
      <c r="M63698"/>
    </row>
    <row r="63699" spans="3:13" ht="12.75" customHeight="1">
      <c r="C63699"/>
      <c r="M63699"/>
    </row>
    <row r="63700" spans="3:13" ht="12.75" customHeight="1">
      <c r="C63700"/>
      <c r="M63700"/>
    </row>
    <row r="63701" spans="3:13" ht="12.75" customHeight="1">
      <c r="C63701"/>
      <c r="M63701"/>
    </row>
    <row r="63702" spans="3:13" ht="12.75" customHeight="1">
      <c r="C63702"/>
      <c r="M63702"/>
    </row>
    <row r="63703" spans="3:13" ht="12.75" customHeight="1">
      <c r="C63703"/>
      <c r="M63703"/>
    </row>
    <row r="63704" spans="3:13" ht="12.75" customHeight="1">
      <c r="C63704"/>
      <c r="M63704"/>
    </row>
    <row r="63705" spans="3:13" ht="12.75" customHeight="1">
      <c r="C63705"/>
      <c r="M63705"/>
    </row>
    <row r="63706" spans="3:13" ht="12.75" customHeight="1">
      <c r="C63706"/>
      <c r="M63706"/>
    </row>
    <row r="63707" spans="3:13" ht="12.75" customHeight="1">
      <c r="C63707"/>
      <c r="M63707"/>
    </row>
    <row r="63708" spans="3:13" ht="12.75" customHeight="1">
      <c r="C63708"/>
      <c r="M63708"/>
    </row>
    <row r="63709" spans="3:13" ht="12.75" customHeight="1">
      <c r="C63709"/>
      <c r="M63709"/>
    </row>
    <row r="63710" spans="3:13" ht="12.75" customHeight="1">
      <c r="C63710"/>
      <c r="M63710"/>
    </row>
    <row r="63711" spans="3:13" ht="12.75" customHeight="1">
      <c r="C63711"/>
      <c r="M63711"/>
    </row>
    <row r="63712" spans="3:13" ht="12.75" customHeight="1">
      <c r="C63712"/>
      <c r="M63712"/>
    </row>
    <row r="63713" spans="3:13" ht="12.75" customHeight="1">
      <c r="C63713"/>
      <c r="M63713"/>
    </row>
    <row r="63714" spans="3:13" ht="12.75" customHeight="1">
      <c r="C63714"/>
      <c r="M63714"/>
    </row>
    <row r="63715" spans="3:13" ht="12.75" customHeight="1">
      <c r="C63715"/>
      <c r="M63715"/>
    </row>
    <row r="63716" spans="3:13" ht="12.75" customHeight="1">
      <c r="C63716"/>
      <c r="M63716"/>
    </row>
    <row r="63717" spans="3:13" ht="12.75" customHeight="1">
      <c r="C63717"/>
      <c r="M63717"/>
    </row>
    <row r="63718" spans="3:13" ht="12.75" customHeight="1">
      <c r="C63718"/>
      <c r="M63718"/>
    </row>
    <row r="63719" spans="3:13" ht="12.75" customHeight="1">
      <c r="C63719"/>
      <c r="M63719"/>
    </row>
    <row r="63720" spans="3:13" ht="12.75" customHeight="1">
      <c r="C63720"/>
      <c r="M63720"/>
    </row>
    <row r="63721" spans="3:13" ht="12.75" customHeight="1">
      <c r="C63721"/>
      <c r="M63721"/>
    </row>
    <row r="63722" spans="3:13" ht="12.75" customHeight="1">
      <c r="C63722"/>
      <c r="M63722"/>
    </row>
    <row r="63723" spans="3:13" ht="12.75" customHeight="1">
      <c r="C63723"/>
      <c r="M63723"/>
    </row>
    <row r="63724" spans="3:13" ht="12.75" customHeight="1">
      <c r="C63724"/>
      <c r="M63724"/>
    </row>
    <row r="63725" spans="3:13" ht="12.75" customHeight="1">
      <c r="C63725"/>
      <c r="M63725"/>
    </row>
    <row r="63726" spans="3:13" ht="12.75" customHeight="1">
      <c r="C63726"/>
      <c r="M63726"/>
    </row>
    <row r="63727" spans="3:13" ht="12.75" customHeight="1">
      <c r="C63727"/>
      <c r="M63727"/>
    </row>
    <row r="63728" spans="3:13" ht="12.75" customHeight="1">
      <c r="C63728"/>
      <c r="M63728"/>
    </row>
    <row r="63729" spans="3:13" ht="12.75" customHeight="1">
      <c r="C63729"/>
      <c r="M63729"/>
    </row>
    <row r="63730" spans="3:13" ht="12.75" customHeight="1">
      <c r="C63730"/>
      <c r="M63730"/>
    </row>
    <row r="63731" spans="3:13" ht="12.75" customHeight="1">
      <c r="C63731"/>
      <c r="M63731"/>
    </row>
    <row r="63732" spans="3:13" ht="12.75" customHeight="1">
      <c r="C63732"/>
      <c r="M63732"/>
    </row>
    <row r="63733" spans="3:13" ht="12.75" customHeight="1">
      <c r="C63733"/>
      <c r="M63733"/>
    </row>
    <row r="63734" spans="3:13" ht="12.75" customHeight="1">
      <c r="C63734"/>
      <c r="M63734"/>
    </row>
    <row r="63735" spans="3:13" ht="12.75" customHeight="1">
      <c r="C63735"/>
      <c r="M63735"/>
    </row>
    <row r="63736" spans="3:13" ht="12.75" customHeight="1">
      <c r="C63736"/>
      <c r="M63736"/>
    </row>
    <row r="63737" spans="3:13" ht="12.75" customHeight="1">
      <c r="C63737"/>
      <c r="M63737"/>
    </row>
    <row r="63738" spans="3:13" ht="12.75" customHeight="1">
      <c r="C63738"/>
      <c r="M63738"/>
    </row>
    <row r="63739" spans="3:13" ht="12.75" customHeight="1">
      <c r="C63739"/>
      <c r="M63739"/>
    </row>
    <row r="63740" spans="3:13" ht="12.75" customHeight="1">
      <c r="C63740"/>
      <c r="M63740"/>
    </row>
    <row r="63741" spans="3:13" ht="12.75" customHeight="1">
      <c r="C63741"/>
      <c r="M63741"/>
    </row>
    <row r="63742" spans="3:13" ht="12.75" customHeight="1">
      <c r="C63742"/>
      <c r="M63742"/>
    </row>
    <row r="63743" spans="3:13" ht="12.75" customHeight="1">
      <c r="C63743"/>
      <c r="M63743"/>
    </row>
    <row r="63744" spans="3:13" ht="12.75" customHeight="1">
      <c r="C63744"/>
      <c r="M63744"/>
    </row>
    <row r="63745" spans="3:13" ht="12.75" customHeight="1">
      <c r="C63745"/>
      <c r="M63745"/>
    </row>
    <row r="63746" spans="3:13" ht="12.75" customHeight="1">
      <c r="C63746"/>
      <c r="M63746"/>
    </row>
    <row r="63747" spans="3:13" ht="12.75" customHeight="1">
      <c r="C63747"/>
      <c r="M63747"/>
    </row>
    <row r="63748" spans="3:13" ht="12.75" customHeight="1">
      <c r="C63748"/>
      <c r="M63748"/>
    </row>
    <row r="63749" spans="3:13" ht="12.75" customHeight="1">
      <c r="C63749"/>
      <c r="M63749"/>
    </row>
    <row r="63750" spans="3:13" ht="12.75" customHeight="1">
      <c r="C63750"/>
      <c r="M63750"/>
    </row>
    <row r="63751" spans="3:13" ht="12.75" customHeight="1">
      <c r="C63751"/>
      <c r="M63751"/>
    </row>
    <row r="63752" spans="3:13" ht="12.75" customHeight="1">
      <c r="C63752"/>
      <c r="M63752"/>
    </row>
    <row r="63753" spans="3:13" ht="12.75" customHeight="1">
      <c r="C63753"/>
      <c r="M63753"/>
    </row>
    <row r="63754" spans="3:13" ht="12.75" customHeight="1">
      <c r="C63754"/>
      <c r="M63754"/>
    </row>
    <row r="63755" spans="3:13" ht="12.75" customHeight="1">
      <c r="C63755"/>
      <c r="M63755"/>
    </row>
    <row r="63756" spans="3:13" ht="12.75" customHeight="1">
      <c r="C63756"/>
      <c r="M63756"/>
    </row>
    <row r="63757" spans="3:13" ht="12.75" customHeight="1">
      <c r="C63757"/>
      <c r="M63757"/>
    </row>
    <row r="63758" spans="3:13" ht="12.75" customHeight="1">
      <c r="C63758"/>
      <c r="M63758"/>
    </row>
    <row r="63759" spans="3:13" ht="12.75" customHeight="1">
      <c r="C63759"/>
      <c r="M63759"/>
    </row>
    <row r="63760" spans="3:13" ht="12.75" customHeight="1">
      <c r="C63760"/>
      <c r="M63760"/>
    </row>
    <row r="63761" spans="3:13" ht="12.75" customHeight="1">
      <c r="C63761"/>
      <c r="M63761"/>
    </row>
    <row r="63762" spans="3:13" ht="12.75" customHeight="1">
      <c r="C63762"/>
      <c r="M63762"/>
    </row>
    <row r="63763" spans="3:13" ht="12.75" customHeight="1">
      <c r="C63763"/>
      <c r="M63763"/>
    </row>
    <row r="63764" spans="3:13" ht="12.75" customHeight="1">
      <c r="C63764"/>
      <c r="M63764"/>
    </row>
    <row r="63765" spans="3:13" ht="12.75" customHeight="1">
      <c r="C63765"/>
      <c r="M63765"/>
    </row>
    <row r="63766" spans="3:13" ht="12.75" customHeight="1">
      <c r="C63766"/>
      <c r="M63766"/>
    </row>
    <row r="63767" spans="3:13" ht="12.75" customHeight="1">
      <c r="C63767"/>
      <c r="M63767"/>
    </row>
    <row r="63768" spans="3:13" ht="12.75" customHeight="1">
      <c r="C63768"/>
      <c r="M63768"/>
    </row>
    <row r="63769" spans="3:13" ht="12.75" customHeight="1">
      <c r="C63769"/>
      <c r="M63769"/>
    </row>
    <row r="63770" spans="3:13" ht="12.75" customHeight="1">
      <c r="C63770"/>
      <c r="M63770"/>
    </row>
    <row r="63771" spans="3:13" ht="12.75" customHeight="1">
      <c r="C63771"/>
      <c r="M63771"/>
    </row>
    <row r="63772" spans="3:13" ht="12.75" customHeight="1">
      <c r="C63772"/>
      <c r="M63772"/>
    </row>
    <row r="63773" spans="3:13" ht="12.75" customHeight="1">
      <c r="C63773"/>
      <c r="M63773"/>
    </row>
    <row r="63774" spans="3:13" ht="12.75" customHeight="1">
      <c r="C63774"/>
      <c r="M63774"/>
    </row>
    <row r="63775" spans="3:13" ht="12.75" customHeight="1">
      <c r="C63775"/>
      <c r="M63775"/>
    </row>
    <row r="63776" spans="3:13" ht="12.75" customHeight="1">
      <c r="C63776"/>
      <c r="M63776"/>
    </row>
    <row r="63777" spans="3:13" ht="12.75" customHeight="1">
      <c r="C63777"/>
      <c r="M63777"/>
    </row>
    <row r="63778" spans="3:13" ht="12.75" customHeight="1">
      <c r="C63778"/>
      <c r="M63778"/>
    </row>
    <row r="63779" spans="3:13" ht="12.75" customHeight="1">
      <c r="C63779"/>
      <c r="M63779"/>
    </row>
    <row r="63780" spans="3:13" ht="12.75" customHeight="1">
      <c r="C63780"/>
      <c r="M63780"/>
    </row>
    <row r="63781" spans="3:13" ht="12.75" customHeight="1">
      <c r="C63781"/>
      <c r="M63781"/>
    </row>
    <row r="63782" spans="3:13" ht="12.75" customHeight="1">
      <c r="C63782"/>
      <c r="M63782"/>
    </row>
    <row r="63783" spans="3:13" ht="12.75" customHeight="1">
      <c r="C63783"/>
      <c r="M63783"/>
    </row>
    <row r="63784" spans="3:13" ht="12.75" customHeight="1">
      <c r="C63784"/>
      <c r="M63784"/>
    </row>
    <row r="63785" spans="3:13" ht="12.75" customHeight="1">
      <c r="C63785"/>
      <c r="M63785"/>
    </row>
    <row r="63786" spans="3:13" ht="12.75" customHeight="1">
      <c r="C63786"/>
      <c r="M63786"/>
    </row>
    <row r="63787" spans="3:13" ht="12.75" customHeight="1">
      <c r="C63787"/>
      <c r="M63787"/>
    </row>
    <row r="63788" spans="3:13" ht="12.75" customHeight="1">
      <c r="C63788"/>
      <c r="M63788"/>
    </row>
    <row r="63789" spans="3:13" ht="12.75" customHeight="1">
      <c r="C63789"/>
      <c r="M63789"/>
    </row>
    <row r="63790" spans="3:13" ht="12.75" customHeight="1">
      <c r="C63790"/>
      <c r="M63790"/>
    </row>
    <row r="63791" spans="3:13" ht="12.75" customHeight="1">
      <c r="C63791"/>
      <c r="M63791"/>
    </row>
    <row r="63792" spans="3:13" ht="12.75" customHeight="1">
      <c r="C63792"/>
      <c r="M63792"/>
    </row>
    <row r="63793" spans="3:13" ht="12.75" customHeight="1">
      <c r="C63793"/>
      <c r="M63793"/>
    </row>
    <row r="63794" spans="3:13" ht="12.75" customHeight="1">
      <c r="C63794"/>
      <c r="M63794"/>
    </row>
    <row r="63795" spans="3:13" ht="12.75" customHeight="1">
      <c r="C63795"/>
      <c r="M63795"/>
    </row>
    <row r="63796" spans="3:13" ht="12.75" customHeight="1">
      <c r="C63796"/>
      <c r="M63796"/>
    </row>
    <row r="63797" spans="3:13" ht="12.75" customHeight="1">
      <c r="C63797"/>
      <c r="M63797"/>
    </row>
    <row r="63798" spans="3:13" ht="12.75" customHeight="1">
      <c r="C63798"/>
      <c r="M63798"/>
    </row>
    <row r="63799" spans="3:13" ht="12.75" customHeight="1">
      <c r="C63799"/>
      <c r="M63799"/>
    </row>
    <row r="63800" spans="3:13" ht="12.75" customHeight="1">
      <c r="C63800"/>
      <c r="M63800"/>
    </row>
    <row r="63801" spans="3:13" ht="12.75" customHeight="1">
      <c r="C63801"/>
      <c r="M63801"/>
    </row>
    <row r="63802" spans="3:13" ht="12.75" customHeight="1">
      <c r="C63802"/>
      <c r="M63802"/>
    </row>
    <row r="63803" spans="3:13" ht="12.75" customHeight="1">
      <c r="C63803"/>
      <c r="M63803"/>
    </row>
    <row r="63804" spans="3:13" ht="12.75" customHeight="1">
      <c r="C63804"/>
      <c r="M63804"/>
    </row>
    <row r="63805" spans="3:13" ht="12.75" customHeight="1">
      <c r="C63805"/>
      <c r="M63805"/>
    </row>
    <row r="63806" spans="3:13" ht="12.75" customHeight="1">
      <c r="C63806"/>
      <c r="M63806"/>
    </row>
    <row r="63807" spans="3:13" ht="12.75" customHeight="1">
      <c r="C63807"/>
      <c r="M63807"/>
    </row>
    <row r="63808" spans="3:13" ht="12.75" customHeight="1">
      <c r="C63808"/>
      <c r="M63808"/>
    </row>
    <row r="63809" spans="3:13" ht="12.75" customHeight="1">
      <c r="C63809"/>
      <c r="M63809"/>
    </row>
    <row r="63810" spans="3:13" ht="12.75" customHeight="1">
      <c r="C63810"/>
      <c r="M63810"/>
    </row>
    <row r="63811" spans="3:13" ht="12.75" customHeight="1">
      <c r="C63811"/>
      <c r="M63811"/>
    </row>
    <row r="63812" spans="3:13" ht="12.75" customHeight="1">
      <c r="C63812"/>
      <c r="M63812"/>
    </row>
    <row r="63813" spans="3:13" ht="12.75" customHeight="1">
      <c r="C63813"/>
      <c r="M63813"/>
    </row>
    <row r="63814" spans="3:13" ht="12.75" customHeight="1">
      <c r="C63814"/>
      <c r="M63814"/>
    </row>
    <row r="63815" spans="3:13" ht="12.75" customHeight="1">
      <c r="C63815"/>
      <c r="M63815"/>
    </row>
    <row r="63816" spans="3:13" ht="12.75" customHeight="1">
      <c r="C63816"/>
      <c r="M63816"/>
    </row>
    <row r="63817" spans="3:13" ht="12.75" customHeight="1">
      <c r="C63817"/>
      <c r="M63817"/>
    </row>
    <row r="63818" spans="3:13" ht="12.75" customHeight="1">
      <c r="C63818"/>
      <c r="M63818"/>
    </row>
    <row r="63819" spans="3:13" ht="12.75" customHeight="1">
      <c r="C63819"/>
      <c r="M63819"/>
    </row>
    <row r="63820" spans="3:13" ht="12.75" customHeight="1">
      <c r="C63820"/>
      <c r="M63820"/>
    </row>
    <row r="63821" spans="3:13" ht="12.75" customHeight="1">
      <c r="C63821"/>
      <c r="M63821"/>
    </row>
    <row r="63822" spans="3:13" ht="12.75" customHeight="1">
      <c r="C63822"/>
      <c r="M63822"/>
    </row>
    <row r="63823" spans="3:13" ht="12.75" customHeight="1">
      <c r="C63823"/>
      <c r="M63823"/>
    </row>
    <row r="63824" spans="3:13" ht="12.75" customHeight="1">
      <c r="C63824"/>
      <c r="M63824"/>
    </row>
    <row r="63825" spans="3:13" ht="12.75" customHeight="1">
      <c r="C63825"/>
      <c r="M63825"/>
    </row>
    <row r="63826" spans="3:13" ht="12.75" customHeight="1">
      <c r="C63826"/>
      <c r="M63826"/>
    </row>
    <row r="63827" spans="3:13" ht="12.75" customHeight="1">
      <c r="C63827"/>
      <c r="M63827"/>
    </row>
    <row r="63828" spans="3:13" ht="12.75" customHeight="1">
      <c r="C63828"/>
      <c r="M63828"/>
    </row>
    <row r="63829" spans="3:13" ht="12.75" customHeight="1">
      <c r="C63829"/>
      <c r="M63829"/>
    </row>
    <row r="63830" spans="3:13" ht="12.75" customHeight="1">
      <c r="C63830"/>
      <c r="M63830"/>
    </row>
    <row r="63831" spans="3:13" ht="12.75" customHeight="1">
      <c r="C63831"/>
      <c r="M63831"/>
    </row>
    <row r="63832" spans="3:13" ht="12.75" customHeight="1">
      <c r="C63832"/>
      <c r="M63832"/>
    </row>
    <row r="63833" spans="3:13" ht="12.75" customHeight="1">
      <c r="C63833"/>
      <c r="M63833"/>
    </row>
    <row r="63834" spans="3:13" ht="12.75" customHeight="1">
      <c r="C63834"/>
      <c r="M63834"/>
    </row>
    <row r="63835" spans="3:13" ht="12.75" customHeight="1">
      <c r="C63835"/>
      <c r="M63835"/>
    </row>
    <row r="63836" spans="3:13" ht="12.75" customHeight="1">
      <c r="C63836"/>
      <c r="M63836"/>
    </row>
    <row r="63837" spans="3:13" ht="12.75" customHeight="1">
      <c r="C63837"/>
      <c r="M63837"/>
    </row>
    <row r="63838" spans="3:13" ht="12.75" customHeight="1">
      <c r="C63838"/>
      <c r="M63838"/>
    </row>
    <row r="63839" spans="3:13" ht="12.75" customHeight="1">
      <c r="C63839"/>
      <c r="M63839"/>
    </row>
    <row r="63840" spans="3:13" ht="12.75" customHeight="1">
      <c r="C63840"/>
      <c r="M63840"/>
    </row>
    <row r="63841" spans="3:13" ht="12.75" customHeight="1">
      <c r="C63841"/>
      <c r="M63841"/>
    </row>
    <row r="63842" spans="3:13" ht="12.75" customHeight="1">
      <c r="C63842"/>
      <c r="M63842"/>
    </row>
    <row r="63843" spans="3:13" ht="12.75" customHeight="1">
      <c r="C63843"/>
      <c r="M63843"/>
    </row>
    <row r="63844" spans="3:13" ht="12.75" customHeight="1">
      <c r="C63844"/>
      <c r="M63844"/>
    </row>
    <row r="63845" spans="3:13" ht="12.75" customHeight="1">
      <c r="C63845"/>
      <c r="M63845"/>
    </row>
    <row r="63846" spans="3:13" ht="12.75" customHeight="1">
      <c r="C63846"/>
      <c r="M63846"/>
    </row>
    <row r="63847" spans="3:13" ht="12.75" customHeight="1">
      <c r="C63847"/>
      <c r="M63847"/>
    </row>
    <row r="63848" spans="3:13" ht="12.75" customHeight="1">
      <c r="C63848"/>
      <c r="M63848"/>
    </row>
    <row r="63849" spans="3:13" ht="12.75" customHeight="1">
      <c r="C63849"/>
      <c r="M63849"/>
    </row>
    <row r="63850" spans="3:13" ht="12.75" customHeight="1">
      <c r="C63850"/>
      <c r="M63850"/>
    </row>
    <row r="63851" spans="3:13" ht="12.75" customHeight="1">
      <c r="C63851"/>
      <c r="M63851"/>
    </row>
    <row r="63852" spans="3:13" ht="12.75" customHeight="1">
      <c r="C63852"/>
      <c r="M63852"/>
    </row>
    <row r="63853" spans="3:13" ht="12.75" customHeight="1">
      <c r="C63853"/>
      <c r="M63853"/>
    </row>
    <row r="63854" spans="3:13" ht="12.75" customHeight="1">
      <c r="C63854"/>
      <c r="M63854"/>
    </row>
    <row r="63855" spans="3:13" ht="12.75" customHeight="1">
      <c r="C63855"/>
      <c r="M63855"/>
    </row>
    <row r="63856" spans="3:13" ht="12.75" customHeight="1">
      <c r="C63856"/>
      <c r="M63856"/>
    </row>
    <row r="63857" spans="3:13" ht="12.75" customHeight="1">
      <c r="C63857"/>
      <c r="M63857"/>
    </row>
    <row r="63858" spans="3:13" ht="12.75" customHeight="1">
      <c r="C63858"/>
      <c r="M63858"/>
    </row>
    <row r="63859" spans="3:13" ht="12.75" customHeight="1">
      <c r="C63859"/>
      <c r="M63859"/>
    </row>
    <row r="63860" spans="3:13" ht="12.75" customHeight="1">
      <c r="C63860"/>
      <c r="M63860"/>
    </row>
    <row r="63861" spans="3:13" ht="12.75" customHeight="1">
      <c r="C63861"/>
      <c r="M63861"/>
    </row>
    <row r="63862" spans="3:13" ht="12.75" customHeight="1">
      <c r="C63862"/>
      <c r="M63862"/>
    </row>
    <row r="63863" spans="3:13" ht="12.75" customHeight="1">
      <c r="C63863"/>
      <c r="M63863"/>
    </row>
    <row r="63864" spans="3:13" ht="12.75" customHeight="1">
      <c r="C63864"/>
      <c r="M63864"/>
    </row>
    <row r="63865" spans="3:13" ht="12.75" customHeight="1">
      <c r="C63865"/>
      <c r="M63865"/>
    </row>
    <row r="63866" spans="3:13" ht="12.75" customHeight="1">
      <c r="C63866"/>
      <c r="M63866"/>
    </row>
    <row r="63867" spans="3:13" ht="12.75" customHeight="1">
      <c r="C63867"/>
      <c r="M63867"/>
    </row>
    <row r="63868" spans="3:13" ht="12.75" customHeight="1">
      <c r="C63868"/>
      <c r="M63868"/>
    </row>
    <row r="63869" spans="3:13" ht="12.75" customHeight="1">
      <c r="C63869"/>
      <c r="M63869"/>
    </row>
    <row r="63870" spans="3:13" ht="12.75" customHeight="1">
      <c r="C63870"/>
      <c r="M63870"/>
    </row>
    <row r="63871" spans="3:13" ht="12.75" customHeight="1">
      <c r="C63871"/>
      <c r="M63871"/>
    </row>
    <row r="63872" spans="3:13" ht="12.75" customHeight="1">
      <c r="C63872"/>
      <c r="M63872"/>
    </row>
    <row r="63873" spans="3:13" ht="12.75" customHeight="1">
      <c r="C63873"/>
      <c r="M63873"/>
    </row>
    <row r="63874" spans="3:13" ht="12.75" customHeight="1">
      <c r="C63874"/>
      <c r="M63874"/>
    </row>
    <row r="63875" spans="3:13" ht="12.75" customHeight="1">
      <c r="C63875"/>
      <c r="M63875"/>
    </row>
    <row r="63876" spans="3:13" ht="12.75" customHeight="1">
      <c r="C63876"/>
      <c r="M63876"/>
    </row>
    <row r="63877" spans="3:13" ht="12.75" customHeight="1">
      <c r="C63877"/>
      <c r="M63877"/>
    </row>
    <row r="63878" spans="3:13" ht="12.75" customHeight="1">
      <c r="C63878"/>
      <c r="M63878"/>
    </row>
    <row r="63879" spans="3:13" ht="12.75" customHeight="1">
      <c r="C63879"/>
      <c r="M63879"/>
    </row>
    <row r="63880" spans="3:13" ht="12.75" customHeight="1">
      <c r="C63880"/>
      <c r="M63880"/>
    </row>
    <row r="63881" spans="3:13" ht="12.75" customHeight="1">
      <c r="C63881"/>
      <c r="M63881"/>
    </row>
    <row r="63882" spans="3:13" ht="12.75" customHeight="1">
      <c r="C63882"/>
      <c r="M63882"/>
    </row>
    <row r="63883" spans="3:13" ht="12.75" customHeight="1">
      <c r="C63883"/>
      <c r="M63883"/>
    </row>
    <row r="63884" spans="3:13" ht="12.75" customHeight="1">
      <c r="C63884"/>
      <c r="M63884"/>
    </row>
    <row r="63885" spans="3:13" ht="12.75" customHeight="1">
      <c r="C63885"/>
      <c r="M63885"/>
    </row>
    <row r="63886" spans="3:13" ht="12.75" customHeight="1">
      <c r="C63886"/>
      <c r="M63886"/>
    </row>
    <row r="63887" spans="3:13" ht="12.75" customHeight="1">
      <c r="C63887"/>
      <c r="M63887"/>
    </row>
    <row r="63888" spans="3:13" ht="12.75" customHeight="1">
      <c r="C63888"/>
      <c r="M63888"/>
    </row>
    <row r="63889" spans="3:13" ht="12.75" customHeight="1">
      <c r="C63889"/>
      <c r="M63889"/>
    </row>
    <row r="63890" spans="3:13" ht="12.75" customHeight="1">
      <c r="C63890"/>
      <c r="M63890"/>
    </row>
    <row r="63891" spans="3:13" ht="12.75" customHeight="1">
      <c r="C63891"/>
      <c r="M63891"/>
    </row>
    <row r="63892" spans="3:13" ht="12.75" customHeight="1">
      <c r="C63892"/>
      <c r="M63892"/>
    </row>
    <row r="63893" spans="3:13" ht="12.75" customHeight="1">
      <c r="C63893"/>
      <c r="M63893"/>
    </row>
    <row r="63894" spans="3:13" ht="12.75" customHeight="1">
      <c r="C63894"/>
      <c r="M63894"/>
    </row>
    <row r="63895" spans="3:13" ht="12.75" customHeight="1">
      <c r="C63895"/>
      <c r="M63895"/>
    </row>
    <row r="63896" spans="3:13" ht="12.75" customHeight="1">
      <c r="C63896"/>
      <c r="M63896"/>
    </row>
    <row r="63897" spans="3:13" ht="12.75" customHeight="1">
      <c r="C63897"/>
      <c r="M63897"/>
    </row>
    <row r="63898" spans="3:13" ht="12.75" customHeight="1">
      <c r="C63898"/>
      <c r="M63898"/>
    </row>
    <row r="63899" spans="3:13" ht="12.75" customHeight="1">
      <c r="C63899"/>
      <c r="M63899"/>
    </row>
    <row r="63900" spans="3:13" ht="12.75" customHeight="1">
      <c r="C63900"/>
      <c r="M63900"/>
    </row>
    <row r="63901" spans="3:13" ht="12.75" customHeight="1">
      <c r="C63901"/>
      <c r="M63901"/>
    </row>
    <row r="63902" spans="3:13" ht="12.75" customHeight="1">
      <c r="C63902"/>
      <c r="M63902"/>
    </row>
    <row r="63903" spans="3:13" ht="12.75" customHeight="1">
      <c r="C63903"/>
      <c r="M63903"/>
    </row>
    <row r="63904" spans="3:13" ht="12.75" customHeight="1">
      <c r="C63904"/>
      <c r="M63904"/>
    </row>
    <row r="63905" spans="3:13" ht="12.75" customHeight="1">
      <c r="C63905"/>
      <c r="M63905"/>
    </row>
    <row r="63906" spans="3:13" ht="12.75" customHeight="1">
      <c r="C63906"/>
      <c r="M63906"/>
    </row>
    <row r="63907" spans="3:13" ht="12.75" customHeight="1">
      <c r="C63907"/>
      <c r="M63907"/>
    </row>
    <row r="63908" spans="3:13" ht="12.75" customHeight="1">
      <c r="C63908"/>
      <c r="M63908"/>
    </row>
    <row r="63909" spans="3:13" ht="12.75" customHeight="1">
      <c r="C63909"/>
      <c r="M63909"/>
    </row>
    <row r="63910" spans="3:13" ht="12.75" customHeight="1">
      <c r="C63910"/>
      <c r="M63910"/>
    </row>
    <row r="63911" spans="3:13" ht="12.75" customHeight="1">
      <c r="C63911"/>
      <c r="M63911"/>
    </row>
    <row r="63912" spans="3:13" ht="12.75" customHeight="1">
      <c r="C63912"/>
      <c r="M63912"/>
    </row>
    <row r="63913" spans="3:13" ht="12.75" customHeight="1">
      <c r="C63913"/>
      <c r="M63913"/>
    </row>
    <row r="63914" spans="3:13" ht="12.75" customHeight="1">
      <c r="C63914"/>
      <c r="M63914"/>
    </row>
    <row r="63915" spans="3:13" ht="12.75" customHeight="1">
      <c r="C63915"/>
      <c r="M63915"/>
    </row>
    <row r="63916" spans="3:13" ht="12.75" customHeight="1">
      <c r="C63916"/>
      <c r="M63916"/>
    </row>
    <row r="63917" spans="3:13" ht="12.75" customHeight="1">
      <c r="C63917"/>
      <c r="M63917"/>
    </row>
    <row r="63918" spans="3:13" ht="12.75" customHeight="1">
      <c r="C63918"/>
      <c r="M63918"/>
    </row>
    <row r="63919" spans="3:13" ht="12.75" customHeight="1">
      <c r="C63919"/>
      <c r="M63919"/>
    </row>
    <row r="63920" spans="3:13" ht="12.75" customHeight="1">
      <c r="C63920"/>
      <c r="M63920"/>
    </row>
    <row r="63921" spans="3:13" ht="12.75" customHeight="1">
      <c r="C63921"/>
      <c r="M63921"/>
    </row>
    <row r="63922" spans="3:13" ht="12.75" customHeight="1">
      <c r="C63922"/>
      <c r="M63922"/>
    </row>
    <row r="63923" spans="3:13" ht="12.75" customHeight="1">
      <c r="C63923"/>
      <c r="M63923"/>
    </row>
    <row r="63924" spans="3:13" ht="12.75" customHeight="1">
      <c r="C63924"/>
      <c r="M63924"/>
    </row>
    <row r="63925" spans="3:13" ht="12.75" customHeight="1">
      <c r="C63925"/>
      <c r="M63925"/>
    </row>
    <row r="63926" spans="3:13" ht="12.75" customHeight="1">
      <c r="C63926"/>
      <c r="M63926"/>
    </row>
    <row r="63927" spans="3:13" ht="12.75" customHeight="1">
      <c r="C63927"/>
      <c r="M63927"/>
    </row>
    <row r="63928" spans="3:13" ht="12.75" customHeight="1">
      <c r="C63928"/>
      <c r="M63928"/>
    </row>
    <row r="63929" spans="3:13" ht="12.75" customHeight="1">
      <c r="C63929"/>
      <c r="M63929"/>
    </row>
    <row r="63930" spans="3:13" ht="12.75" customHeight="1">
      <c r="C63930"/>
      <c r="M63930"/>
    </row>
    <row r="63931" spans="3:13" ht="12.75" customHeight="1">
      <c r="C63931"/>
      <c r="M63931"/>
    </row>
    <row r="63932" spans="3:13" ht="12.75" customHeight="1">
      <c r="C63932"/>
      <c r="M63932"/>
    </row>
    <row r="63933" spans="3:13" ht="12.75" customHeight="1">
      <c r="C63933"/>
      <c r="M63933"/>
    </row>
    <row r="63934" spans="3:13" ht="12.75" customHeight="1">
      <c r="C63934"/>
      <c r="M63934"/>
    </row>
    <row r="63935" spans="3:13" ht="12.75" customHeight="1">
      <c r="C63935"/>
      <c r="M63935"/>
    </row>
    <row r="63936" spans="3:13" ht="12.75" customHeight="1">
      <c r="C63936"/>
      <c r="M63936"/>
    </row>
    <row r="63937" spans="3:13" ht="12.75" customHeight="1">
      <c r="C63937"/>
      <c r="M63937"/>
    </row>
    <row r="63938" spans="3:13" ht="12.75" customHeight="1">
      <c r="C63938"/>
      <c r="M63938"/>
    </row>
    <row r="63939" spans="3:13" ht="12.75" customHeight="1">
      <c r="C63939"/>
      <c r="M63939"/>
    </row>
    <row r="63940" spans="3:13" ht="12.75" customHeight="1">
      <c r="C63940"/>
      <c r="M63940"/>
    </row>
    <row r="63941" spans="3:13" ht="12.75" customHeight="1">
      <c r="C63941"/>
      <c r="M63941"/>
    </row>
    <row r="63942" spans="3:13" ht="12.75" customHeight="1">
      <c r="C63942"/>
      <c r="M63942"/>
    </row>
    <row r="63943" spans="3:13" ht="12.75" customHeight="1">
      <c r="C63943"/>
      <c r="M63943"/>
    </row>
    <row r="63944" spans="3:13" ht="12.75" customHeight="1">
      <c r="C63944"/>
      <c r="M63944"/>
    </row>
    <row r="63945" spans="3:13" ht="12.75" customHeight="1">
      <c r="C63945"/>
      <c r="M63945"/>
    </row>
    <row r="63946" spans="3:13" ht="12.75" customHeight="1">
      <c r="C63946"/>
      <c r="M63946"/>
    </row>
    <row r="63947" spans="3:13" ht="12.75" customHeight="1">
      <c r="C63947"/>
      <c r="M63947"/>
    </row>
    <row r="63948" spans="3:13" ht="12.75" customHeight="1">
      <c r="C63948"/>
      <c r="M63948"/>
    </row>
    <row r="63949" spans="3:13" ht="12.75" customHeight="1">
      <c r="C63949"/>
      <c r="M63949"/>
    </row>
    <row r="63950" spans="3:13" ht="12.75" customHeight="1">
      <c r="C63950"/>
      <c r="M63950"/>
    </row>
    <row r="63951" spans="3:13" ht="12.75" customHeight="1">
      <c r="C63951"/>
      <c r="M63951"/>
    </row>
    <row r="63952" spans="3:13" ht="12.75" customHeight="1">
      <c r="C63952"/>
      <c r="M63952"/>
    </row>
    <row r="63953" spans="3:13" ht="12.75" customHeight="1">
      <c r="C63953"/>
      <c r="M63953"/>
    </row>
    <row r="63954" spans="3:13" ht="12.75" customHeight="1">
      <c r="C63954"/>
      <c r="M63954"/>
    </row>
    <row r="63955" spans="3:13" ht="12.75" customHeight="1">
      <c r="C63955"/>
      <c r="M63955"/>
    </row>
    <row r="63956" spans="3:13" ht="12.75" customHeight="1">
      <c r="C63956"/>
      <c r="M63956"/>
    </row>
    <row r="63957" spans="3:13" ht="12.75" customHeight="1">
      <c r="C63957"/>
      <c r="M63957"/>
    </row>
    <row r="63958" spans="3:13" ht="12.75" customHeight="1">
      <c r="C63958"/>
      <c r="M63958"/>
    </row>
    <row r="63959" spans="3:13" ht="12.75" customHeight="1">
      <c r="C63959"/>
      <c r="M63959"/>
    </row>
    <row r="63960" spans="3:13" ht="12.75" customHeight="1">
      <c r="C63960"/>
      <c r="M63960"/>
    </row>
    <row r="63961" spans="3:13" ht="12.75" customHeight="1">
      <c r="C63961"/>
      <c r="M63961"/>
    </row>
    <row r="63962" spans="3:13" ht="12.75" customHeight="1">
      <c r="C63962"/>
      <c r="M63962"/>
    </row>
    <row r="63963" spans="3:13" ht="12.75" customHeight="1">
      <c r="C63963"/>
      <c r="M63963"/>
    </row>
    <row r="63964" spans="3:13" ht="12.75" customHeight="1">
      <c r="C63964"/>
      <c r="M63964"/>
    </row>
    <row r="63965" spans="3:13" ht="12.75" customHeight="1">
      <c r="C63965"/>
      <c r="M63965"/>
    </row>
    <row r="63966" spans="3:13" ht="12.75" customHeight="1">
      <c r="C63966"/>
      <c r="M63966"/>
    </row>
    <row r="63967" spans="3:13" ht="12.75" customHeight="1">
      <c r="C63967"/>
      <c r="M63967"/>
    </row>
    <row r="63968" spans="3:13" ht="12.75" customHeight="1">
      <c r="C63968"/>
      <c r="M63968"/>
    </row>
    <row r="63969" spans="3:13" ht="12.75" customHeight="1">
      <c r="C63969"/>
      <c r="M63969"/>
    </row>
    <row r="63970" spans="3:13" ht="12.75" customHeight="1">
      <c r="C63970"/>
      <c r="M63970"/>
    </row>
    <row r="63971" spans="3:13" ht="12.75" customHeight="1">
      <c r="C63971"/>
      <c r="M63971"/>
    </row>
    <row r="63972" spans="3:13" ht="12.75" customHeight="1">
      <c r="C63972"/>
      <c r="M63972"/>
    </row>
    <row r="63973" spans="3:13" ht="12.75" customHeight="1">
      <c r="C63973"/>
      <c r="M63973"/>
    </row>
    <row r="63974" spans="3:13" ht="12.75" customHeight="1">
      <c r="C63974"/>
      <c r="M63974"/>
    </row>
    <row r="63975" spans="3:13" ht="12.75" customHeight="1">
      <c r="C63975"/>
      <c r="M63975"/>
    </row>
    <row r="63976" spans="3:13" ht="12.75" customHeight="1">
      <c r="C63976"/>
      <c r="M63976"/>
    </row>
    <row r="63977" spans="3:13" ht="12.75" customHeight="1">
      <c r="C63977"/>
      <c r="M63977"/>
    </row>
    <row r="63978" spans="3:13" ht="12.75" customHeight="1">
      <c r="C63978"/>
      <c r="M63978"/>
    </row>
    <row r="63979" spans="3:13" ht="12.75" customHeight="1">
      <c r="C63979"/>
      <c r="M63979"/>
    </row>
    <row r="63980" spans="3:13" ht="12.75" customHeight="1">
      <c r="C63980"/>
      <c r="M63980"/>
    </row>
    <row r="63981" spans="3:13" ht="12.75" customHeight="1">
      <c r="C63981"/>
      <c r="M63981"/>
    </row>
    <row r="63982" spans="3:13" ht="12.75" customHeight="1">
      <c r="C63982"/>
      <c r="M63982"/>
    </row>
    <row r="63983" spans="3:13" ht="12.75" customHeight="1">
      <c r="C63983"/>
      <c r="M63983"/>
    </row>
    <row r="63984" spans="3:13" ht="12.75" customHeight="1">
      <c r="C63984"/>
      <c r="M63984"/>
    </row>
    <row r="63985" spans="3:13" ht="12.75" customHeight="1">
      <c r="C63985"/>
      <c r="M63985"/>
    </row>
    <row r="63986" spans="3:13" ht="12.75" customHeight="1">
      <c r="C63986"/>
      <c r="M63986"/>
    </row>
    <row r="63987" spans="3:13" ht="12.75" customHeight="1">
      <c r="C63987"/>
      <c r="M63987"/>
    </row>
    <row r="63988" spans="3:13" ht="12.75" customHeight="1">
      <c r="C63988"/>
      <c r="M63988"/>
    </row>
    <row r="63989" spans="3:13" ht="12.75" customHeight="1">
      <c r="C63989"/>
      <c r="M63989"/>
    </row>
    <row r="63990" spans="3:13" ht="12.75" customHeight="1">
      <c r="C63990"/>
      <c r="M63990"/>
    </row>
    <row r="63991" spans="3:13" ht="12.75" customHeight="1">
      <c r="C63991"/>
      <c r="M63991"/>
    </row>
    <row r="63992" spans="3:13" ht="12.75" customHeight="1">
      <c r="C63992"/>
      <c r="M63992"/>
    </row>
    <row r="63993" spans="3:13" ht="12.75" customHeight="1">
      <c r="C63993"/>
      <c r="M63993"/>
    </row>
    <row r="63994" spans="3:13" ht="12.75" customHeight="1">
      <c r="C63994"/>
      <c r="M63994"/>
    </row>
    <row r="63995" spans="3:13" ht="12.75" customHeight="1">
      <c r="C63995"/>
      <c r="M63995"/>
    </row>
    <row r="63996" spans="3:13" ht="12.75" customHeight="1">
      <c r="C63996"/>
      <c r="M63996"/>
    </row>
    <row r="63997" spans="3:13" ht="12.75" customHeight="1">
      <c r="C63997"/>
      <c r="M63997"/>
    </row>
    <row r="63998" spans="3:13" ht="12.75" customHeight="1">
      <c r="C63998"/>
      <c r="M63998"/>
    </row>
    <row r="63999" spans="3:13" ht="12.75" customHeight="1">
      <c r="C63999"/>
      <c r="M63999"/>
    </row>
    <row r="64000" spans="3:13" ht="12.75" customHeight="1">
      <c r="C64000"/>
      <c r="M64000"/>
    </row>
    <row r="64001" spans="3:13" ht="12.75" customHeight="1">
      <c r="C64001"/>
      <c r="M64001"/>
    </row>
    <row r="64002" spans="3:13" ht="12.75" customHeight="1">
      <c r="C64002"/>
      <c r="M64002"/>
    </row>
    <row r="64003" spans="3:13" ht="12.75" customHeight="1">
      <c r="C64003"/>
      <c r="M64003"/>
    </row>
    <row r="64004" spans="3:13" ht="12.75" customHeight="1">
      <c r="C64004"/>
      <c r="M64004"/>
    </row>
    <row r="64005" spans="3:13" ht="12.75" customHeight="1">
      <c r="C64005"/>
      <c r="M64005"/>
    </row>
    <row r="64006" spans="3:13" ht="12.75" customHeight="1">
      <c r="C64006"/>
      <c r="M64006"/>
    </row>
    <row r="64007" spans="3:13" ht="12.75" customHeight="1">
      <c r="C64007"/>
      <c r="M64007"/>
    </row>
    <row r="64008" spans="3:13" ht="12.75" customHeight="1">
      <c r="C64008"/>
      <c r="M64008"/>
    </row>
    <row r="64009" spans="3:13" ht="12.75" customHeight="1">
      <c r="C64009"/>
      <c r="M64009"/>
    </row>
    <row r="64010" spans="3:13" ht="12.75" customHeight="1">
      <c r="C64010"/>
      <c r="M64010"/>
    </row>
    <row r="64011" spans="3:13" ht="12.75" customHeight="1">
      <c r="C64011"/>
      <c r="M64011"/>
    </row>
    <row r="64012" spans="3:13" ht="12.75" customHeight="1">
      <c r="C64012"/>
      <c r="M64012"/>
    </row>
    <row r="64013" spans="3:13" ht="12.75" customHeight="1">
      <c r="C64013"/>
      <c r="M64013"/>
    </row>
    <row r="64014" spans="3:13" ht="12.75" customHeight="1">
      <c r="C64014"/>
      <c r="M64014"/>
    </row>
    <row r="64015" spans="3:13" ht="12.75" customHeight="1">
      <c r="C64015"/>
      <c r="M64015"/>
    </row>
    <row r="64016" spans="3:13" ht="12.75" customHeight="1">
      <c r="C64016"/>
      <c r="M64016"/>
    </row>
    <row r="64017" spans="3:13" ht="12.75" customHeight="1">
      <c r="C64017"/>
      <c r="M64017"/>
    </row>
    <row r="64018" spans="3:13" ht="12.75" customHeight="1">
      <c r="C64018"/>
      <c r="M64018"/>
    </row>
    <row r="64019" spans="3:13" ht="12.75" customHeight="1">
      <c r="C64019"/>
      <c r="M64019"/>
    </row>
    <row r="64020" spans="3:13" ht="12.75" customHeight="1">
      <c r="C64020"/>
      <c r="M64020"/>
    </row>
    <row r="64021" spans="3:13" ht="12.75" customHeight="1">
      <c r="C64021"/>
      <c r="M64021"/>
    </row>
    <row r="64022" spans="3:13" ht="12.75" customHeight="1">
      <c r="C64022"/>
      <c r="M64022"/>
    </row>
    <row r="64023" spans="3:13" ht="12.75" customHeight="1">
      <c r="C64023"/>
      <c r="M64023"/>
    </row>
    <row r="64024" spans="3:13" ht="12.75" customHeight="1">
      <c r="C64024"/>
      <c r="M64024"/>
    </row>
    <row r="64025" spans="3:13" ht="12.75" customHeight="1">
      <c r="C64025"/>
      <c r="M64025"/>
    </row>
    <row r="64026" spans="3:13" ht="12.75" customHeight="1">
      <c r="C64026"/>
      <c r="M64026"/>
    </row>
    <row r="64027" spans="3:13" ht="12.75" customHeight="1">
      <c r="C64027"/>
      <c r="M64027"/>
    </row>
    <row r="64028" spans="3:13" ht="12.75" customHeight="1">
      <c r="C64028"/>
      <c r="M64028"/>
    </row>
    <row r="64029" spans="3:13" ht="12.75" customHeight="1">
      <c r="C64029"/>
      <c r="M64029"/>
    </row>
    <row r="64030" spans="3:13" ht="12.75" customHeight="1">
      <c r="C64030"/>
      <c r="M64030"/>
    </row>
    <row r="64031" spans="3:13" ht="12.75" customHeight="1">
      <c r="C64031"/>
      <c r="M64031"/>
    </row>
    <row r="64032" spans="3:13" ht="12.75" customHeight="1">
      <c r="C64032"/>
      <c r="M64032"/>
    </row>
    <row r="64033" spans="3:13" ht="12.75" customHeight="1">
      <c r="C64033"/>
      <c r="M64033"/>
    </row>
    <row r="64034" spans="3:13" ht="12.75" customHeight="1">
      <c r="C64034"/>
      <c r="M64034"/>
    </row>
    <row r="64035" spans="3:13" ht="12.75" customHeight="1">
      <c r="C64035"/>
      <c r="M64035"/>
    </row>
    <row r="64036" spans="3:13" ht="12.75" customHeight="1">
      <c r="C64036"/>
      <c r="M64036"/>
    </row>
    <row r="64037" spans="3:13" ht="12.75" customHeight="1">
      <c r="C64037"/>
      <c r="M64037"/>
    </row>
    <row r="64038" spans="3:13" ht="12.75" customHeight="1">
      <c r="C64038"/>
      <c r="M64038"/>
    </row>
    <row r="64039" spans="3:13" ht="12.75" customHeight="1">
      <c r="C64039"/>
      <c r="M64039"/>
    </row>
    <row r="64040" spans="3:13" ht="12.75" customHeight="1">
      <c r="C64040"/>
      <c r="M64040"/>
    </row>
    <row r="64041" spans="3:13" ht="12.75" customHeight="1">
      <c r="C64041"/>
      <c r="M64041"/>
    </row>
    <row r="64042" spans="3:13" ht="12.75" customHeight="1">
      <c r="C64042"/>
      <c r="M64042"/>
    </row>
    <row r="64043" spans="3:13" ht="12.75" customHeight="1">
      <c r="C64043"/>
      <c r="M64043"/>
    </row>
    <row r="64044" spans="3:13" ht="12.75" customHeight="1">
      <c r="C64044"/>
      <c r="M64044"/>
    </row>
    <row r="64045" spans="3:13" ht="12.75" customHeight="1">
      <c r="C64045"/>
      <c r="M64045"/>
    </row>
    <row r="64046" spans="3:13" ht="12.75" customHeight="1">
      <c r="C64046"/>
      <c r="M64046"/>
    </row>
    <row r="64047" spans="3:13" ht="12.75" customHeight="1">
      <c r="C64047"/>
      <c r="M64047"/>
    </row>
    <row r="64048" spans="3:13" ht="12.75" customHeight="1">
      <c r="C64048"/>
      <c r="M64048"/>
    </row>
    <row r="64049" spans="3:13" ht="12.75" customHeight="1">
      <c r="C64049"/>
      <c r="M64049"/>
    </row>
    <row r="64050" spans="3:13" ht="12.75" customHeight="1">
      <c r="C64050"/>
      <c r="M64050"/>
    </row>
    <row r="64051" spans="3:13" ht="12.75" customHeight="1">
      <c r="C64051"/>
      <c r="M64051"/>
    </row>
    <row r="64052" spans="3:13" ht="12.75" customHeight="1">
      <c r="C64052"/>
      <c r="M64052"/>
    </row>
    <row r="64053" spans="3:13" ht="12.75" customHeight="1">
      <c r="C64053"/>
      <c r="M64053"/>
    </row>
    <row r="64054" spans="3:13" ht="12.75" customHeight="1">
      <c r="C64054"/>
      <c r="M64054"/>
    </row>
    <row r="64055" spans="3:13" ht="12.75" customHeight="1">
      <c r="C64055"/>
      <c r="M64055"/>
    </row>
    <row r="64056" spans="3:13" ht="12.75" customHeight="1">
      <c r="C64056"/>
      <c r="M64056"/>
    </row>
    <row r="64057" spans="3:13" ht="12.75" customHeight="1">
      <c r="C64057"/>
      <c r="M64057"/>
    </row>
    <row r="64058" spans="3:13" ht="12.75" customHeight="1">
      <c r="C64058"/>
      <c r="M64058"/>
    </row>
    <row r="64059" spans="3:13" ht="12.75" customHeight="1">
      <c r="C64059"/>
      <c r="M64059"/>
    </row>
    <row r="64060" spans="3:13" ht="12.75" customHeight="1">
      <c r="C64060"/>
      <c r="M64060"/>
    </row>
    <row r="64061" spans="3:13" ht="12.75" customHeight="1">
      <c r="C64061"/>
      <c r="M64061"/>
    </row>
    <row r="64062" spans="3:13" ht="12.75" customHeight="1">
      <c r="C64062"/>
      <c r="M64062"/>
    </row>
    <row r="64063" spans="3:13" ht="12.75" customHeight="1">
      <c r="C64063"/>
      <c r="M64063"/>
    </row>
    <row r="64064" spans="3:13" ht="12.75" customHeight="1">
      <c r="C64064"/>
      <c r="M64064"/>
    </row>
    <row r="64065" spans="3:13" ht="12.75" customHeight="1">
      <c r="C64065"/>
      <c r="M64065"/>
    </row>
    <row r="64066" spans="3:13" ht="12.75" customHeight="1">
      <c r="C64066"/>
      <c r="M64066"/>
    </row>
    <row r="64067" spans="3:13" ht="12.75" customHeight="1">
      <c r="C64067"/>
      <c r="M64067"/>
    </row>
    <row r="64068" spans="3:13" ht="12.75" customHeight="1">
      <c r="C64068"/>
      <c r="M64068"/>
    </row>
    <row r="64069" spans="3:13" ht="12.75" customHeight="1">
      <c r="C64069"/>
      <c r="M64069"/>
    </row>
    <row r="64070" spans="3:13" ht="12.75" customHeight="1">
      <c r="C64070"/>
      <c r="M64070"/>
    </row>
    <row r="64071" spans="3:13" ht="12.75" customHeight="1">
      <c r="C64071"/>
      <c r="M64071"/>
    </row>
    <row r="64072" spans="3:13" ht="12.75" customHeight="1">
      <c r="C64072"/>
      <c r="M64072"/>
    </row>
    <row r="64073" spans="3:13" ht="12.75" customHeight="1">
      <c r="C64073"/>
      <c r="M64073"/>
    </row>
    <row r="64074" spans="3:13" ht="12.75" customHeight="1">
      <c r="C64074"/>
      <c r="M64074"/>
    </row>
    <row r="64075" spans="3:13" ht="12.75" customHeight="1">
      <c r="C64075"/>
      <c r="M64075"/>
    </row>
    <row r="64076" spans="3:13" ht="12.75" customHeight="1">
      <c r="C64076"/>
      <c r="M64076"/>
    </row>
    <row r="64077" spans="3:13" ht="12.75" customHeight="1">
      <c r="C64077"/>
      <c r="M64077"/>
    </row>
    <row r="64078" spans="3:13" ht="12.75" customHeight="1">
      <c r="C64078"/>
      <c r="M64078"/>
    </row>
    <row r="64079" spans="3:13" ht="12.75" customHeight="1">
      <c r="C64079"/>
      <c r="M64079"/>
    </row>
    <row r="64080" spans="3:13" ht="12.75" customHeight="1">
      <c r="C64080"/>
      <c r="M64080"/>
    </row>
    <row r="64081" spans="3:13" ht="12.75" customHeight="1">
      <c r="C64081"/>
      <c r="M64081"/>
    </row>
    <row r="64082" spans="3:13" ht="12.75" customHeight="1">
      <c r="C64082"/>
      <c r="M64082"/>
    </row>
    <row r="64083" spans="3:13" ht="12.75" customHeight="1">
      <c r="C64083"/>
      <c r="M64083"/>
    </row>
    <row r="64084" spans="3:13" ht="12.75" customHeight="1">
      <c r="C64084"/>
      <c r="M64084"/>
    </row>
    <row r="64085" spans="3:13" ht="12.75" customHeight="1">
      <c r="C64085"/>
      <c r="M64085"/>
    </row>
    <row r="64086" spans="3:13" ht="12.75" customHeight="1">
      <c r="C64086"/>
      <c r="M64086"/>
    </row>
    <row r="64087" spans="3:13" ht="12.75" customHeight="1">
      <c r="C64087"/>
      <c r="M64087"/>
    </row>
    <row r="64088" spans="3:13" ht="12.75" customHeight="1">
      <c r="C64088"/>
      <c r="M64088"/>
    </row>
    <row r="64089" spans="3:13" ht="12.75" customHeight="1">
      <c r="C64089"/>
      <c r="M64089"/>
    </row>
    <row r="64090" spans="3:13" ht="12.75" customHeight="1">
      <c r="C64090"/>
      <c r="M64090"/>
    </row>
    <row r="64091" spans="3:13" ht="12.75" customHeight="1">
      <c r="C64091"/>
      <c r="M64091"/>
    </row>
    <row r="64092" spans="3:13" ht="12.75" customHeight="1">
      <c r="C64092"/>
      <c r="M64092"/>
    </row>
    <row r="64093" spans="3:13" ht="12.75" customHeight="1">
      <c r="C64093"/>
      <c r="M64093"/>
    </row>
    <row r="64094" spans="3:13" ht="12.75" customHeight="1">
      <c r="C64094"/>
      <c r="M64094"/>
    </row>
    <row r="64095" spans="3:13" ht="12.75" customHeight="1">
      <c r="C64095"/>
      <c r="M64095"/>
    </row>
    <row r="64096" spans="3:13" ht="12.75" customHeight="1">
      <c r="C64096"/>
      <c r="M64096"/>
    </row>
    <row r="64097" spans="3:13" ht="12.75" customHeight="1">
      <c r="C64097"/>
      <c r="M64097"/>
    </row>
    <row r="64098" spans="3:13" ht="12.75" customHeight="1">
      <c r="C64098"/>
      <c r="M64098"/>
    </row>
    <row r="64099" spans="3:13" ht="12.75" customHeight="1">
      <c r="C64099"/>
      <c r="M64099"/>
    </row>
    <row r="64100" spans="3:13" ht="12.75" customHeight="1">
      <c r="C64100"/>
      <c r="M64100"/>
    </row>
    <row r="64101" spans="3:13" ht="12.75" customHeight="1">
      <c r="C64101"/>
      <c r="M64101"/>
    </row>
    <row r="64102" spans="3:13" ht="12.75" customHeight="1">
      <c r="C64102"/>
      <c r="M64102"/>
    </row>
    <row r="64103" spans="3:13" ht="12.75" customHeight="1">
      <c r="C64103"/>
      <c r="M64103"/>
    </row>
    <row r="64104" spans="3:13" ht="12.75" customHeight="1">
      <c r="C64104"/>
      <c r="M64104"/>
    </row>
    <row r="64105" spans="3:13" ht="12.75" customHeight="1">
      <c r="C64105"/>
      <c r="M64105"/>
    </row>
    <row r="64106" spans="3:13" ht="12.75" customHeight="1">
      <c r="C64106"/>
      <c r="M64106"/>
    </row>
    <row r="64107" spans="3:13" ht="12.75" customHeight="1">
      <c r="C64107"/>
      <c r="M64107"/>
    </row>
    <row r="64108" spans="3:13" ht="12.75" customHeight="1">
      <c r="C64108"/>
      <c r="M64108"/>
    </row>
    <row r="64109" spans="3:13" ht="12.75" customHeight="1">
      <c r="C64109"/>
      <c r="M64109"/>
    </row>
    <row r="64110" spans="3:13" ht="12.75" customHeight="1">
      <c r="C64110"/>
      <c r="M64110"/>
    </row>
    <row r="64111" spans="3:13" ht="12.75" customHeight="1">
      <c r="C64111"/>
      <c r="M64111"/>
    </row>
    <row r="64112" spans="3:13" ht="12.75" customHeight="1">
      <c r="C64112"/>
      <c r="M64112"/>
    </row>
    <row r="64113" spans="3:13" ht="12.75" customHeight="1">
      <c r="C64113"/>
      <c r="M64113"/>
    </row>
    <row r="64114" spans="3:13" ht="12.75" customHeight="1">
      <c r="C64114"/>
      <c r="M64114"/>
    </row>
    <row r="64115" spans="3:13" ht="12.75" customHeight="1">
      <c r="C64115"/>
      <c r="M64115"/>
    </row>
    <row r="64116" spans="3:13" ht="12.75" customHeight="1">
      <c r="C64116"/>
      <c r="M64116"/>
    </row>
    <row r="64117" spans="3:13" ht="12.75" customHeight="1">
      <c r="C64117"/>
      <c r="M64117"/>
    </row>
    <row r="64118" spans="3:13" ht="12.75" customHeight="1">
      <c r="C64118"/>
      <c r="M64118"/>
    </row>
    <row r="64119" spans="3:13" ht="12.75" customHeight="1">
      <c r="C64119"/>
      <c r="M64119"/>
    </row>
    <row r="64120" spans="3:13" ht="12.75" customHeight="1">
      <c r="C64120"/>
      <c r="M64120"/>
    </row>
    <row r="64121" spans="3:13" ht="12.75" customHeight="1">
      <c r="C64121"/>
      <c r="M64121"/>
    </row>
    <row r="64122" spans="3:13" ht="12.75" customHeight="1">
      <c r="C64122"/>
      <c r="M64122"/>
    </row>
    <row r="64123" spans="3:13" ht="12.75" customHeight="1">
      <c r="C64123"/>
      <c r="M64123"/>
    </row>
    <row r="64124" spans="3:13" ht="12.75" customHeight="1">
      <c r="C64124"/>
      <c r="M64124"/>
    </row>
    <row r="64125" spans="3:13" ht="12.75" customHeight="1">
      <c r="C64125"/>
      <c r="M64125"/>
    </row>
    <row r="64126" spans="3:13" ht="12.75" customHeight="1">
      <c r="C64126"/>
      <c r="M64126"/>
    </row>
    <row r="64127" spans="3:13" ht="12.75" customHeight="1">
      <c r="C64127"/>
      <c r="M64127"/>
    </row>
    <row r="64128" spans="3:13" ht="12.75" customHeight="1">
      <c r="C64128"/>
      <c r="M64128"/>
    </row>
    <row r="64129" spans="3:13" ht="12.75" customHeight="1">
      <c r="C64129"/>
      <c r="M64129"/>
    </row>
    <row r="64130" spans="3:13" ht="12.75" customHeight="1">
      <c r="C64130"/>
      <c r="M64130"/>
    </row>
    <row r="64131" spans="3:13" ht="12.75" customHeight="1">
      <c r="C64131"/>
      <c r="M64131"/>
    </row>
    <row r="64132" spans="3:13" ht="12.75" customHeight="1">
      <c r="C64132"/>
      <c r="M64132"/>
    </row>
    <row r="64133" spans="3:13" ht="12.75" customHeight="1">
      <c r="C64133"/>
      <c r="M64133"/>
    </row>
    <row r="64134" spans="3:13" ht="12.75" customHeight="1">
      <c r="C64134"/>
      <c r="M64134"/>
    </row>
    <row r="64135" spans="3:13" ht="12.75" customHeight="1">
      <c r="C64135"/>
      <c r="M64135"/>
    </row>
    <row r="64136" spans="3:13" ht="12.75" customHeight="1">
      <c r="C64136"/>
      <c r="M64136"/>
    </row>
    <row r="64137" spans="3:13" ht="12.75" customHeight="1">
      <c r="C64137"/>
      <c r="M64137"/>
    </row>
    <row r="64138" spans="3:13" ht="12.75" customHeight="1">
      <c r="C64138"/>
      <c r="M64138"/>
    </row>
    <row r="64139" spans="3:13" ht="12.75" customHeight="1">
      <c r="C64139"/>
      <c r="M64139"/>
    </row>
    <row r="64140" spans="3:13" ht="12.75" customHeight="1">
      <c r="C64140"/>
      <c r="M64140"/>
    </row>
    <row r="64141" spans="3:13" ht="12.75" customHeight="1">
      <c r="C64141"/>
      <c r="M64141"/>
    </row>
    <row r="64142" spans="3:13" ht="12.75" customHeight="1">
      <c r="C64142"/>
      <c r="M64142"/>
    </row>
    <row r="64143" spans="3:13" ht="12.75" customHeight="1">
      <c r="C64143"/>
      <c r="M64143"/>
    </row>
    <row r="64144" spans="3:13" ht="12.75" customHeight="1">
      <c r="C64144"/>
      <c r="M64144"/>
    </row>
    <row r="64145" spans="3:13" ht="12.75" customHeight="1">
      <c r="C64145"/>
      <c r="M64145"/>
    </row>
    <row r="64146" spans="3:13" ht="12.75" customHeight="1">
      <c r="C64146"/>
      <c r="M64146"/>
    </row>
    <row r="64147" spans="3:13" ht="12.75" customHeight="1">
      <c r="C64147"/>
      <c r="M64147"/>
    </row>
    <row r="64148" spans="3:13" ht="12.75" customHeight="1">
      <c r="C64148"/>
      <c r="M64148"/>
    </row>
    <row r="64149" spans="3:13" ht="12.75" customHeight="1">
      <c r="C64149"/>
      <c r="M64149"/>
    </row>
    <row r="64150" spans="3:13" ht="12.75" customHeight="1">
      <c r="C64150"/>
      <c r="M64150"/>
    </row>
    <row r="64151" spans="3:13" ht="12.75" customHeight="1">
      <c r="C64151"/>
      <c r="M64151"/>
    </row>
    <row r="64152" spans="3:13" ht="12.75" customHeight="1">
      <c r="C64152"/>
      <c r="M64152"/>
    </row>
    <row r="64153" spans="3:13" ht="12.75" customHeight="1">
      <c r="C64153"/>
      <c r="M64153"/>
    </row>
    <row r="64154" spans="3:13" ht="12.75" customHeight="1">
      <c r="C64154"/>
      <c r="M64154"/>
    </row>
    <row r="64155" spans="3:13" ht="12.75" customHeight="1">
      <c r="C64155"/>
      <c r="M64155"/>
    </row>
    <row r="64156" spans="3:13" ht="12.75" customHeight="1">
      <c r="C64156"/>
      <c r="M64156"/>
    </row>
    <row r="64157" spans="3:13" ht="12.75" customHeight="1">
      <c r="C64157"/>
      <c r="M64157"/>
    </row>
    <row r="64158" spans="3:13" ht="12.75" customHeight="1">
      <c r="C64158"/>
      <c r="M64158"/>
    </row>
    <row r="64159" spans="3:13" ht="12.75" customHeight="1">
      <c r="C64159"/>
      <c r="M64159"/>
    </row>
    <row r="64160" spans="3:13" ht="12.75" customHeight="1">
      <c r="C64160"/>
      <c r="M64160"/>
    </row>
    <row r="64161" spans="3:13" ht="12.75" customHeight="1">
      <c r="C64161"/>
      <c r="M64161"/>
    </row>
    <row r="64162" spans="3:13" ht="12.75" customHeight="1">
      <c r="C64162"/>
      <c r="M64162"/>
    </row>
    <row r="64163" spans="3:13" ht="12.75" customHeight="1">
      <c r="C64163"/>
      <c r="M64163"/>
    </row>
    <row r="64164" spans="3:13" ht="12.75" customHeight="1">
      <c r="C64164"/>
      <c r="M64164"/>
    </row>
    <row r="64165" spans="3:13" ht="12.75" customHeight="1">
      <c r="C64165"/>
      <c r="M64165"/>
    </row>
    <row r="64166" spans="3:13" ht="12.75" customHeight="1">
      <c r="C64166"/>
      <c r="M64166"/>
    </row>
    <row r="64167" spans="3:13" ht="12.75" customHeight="1">
      <c r="C64167"/>
      <c r="M64167"/>
    </row>
    <row r="64168" spans="3:13" ht="12.75" customHeight="1">
      <c r="C64168"/>
      <c r="M64168"/>
    </row>
    <row r="64169" spans="3:13" ht="12.75" customHeight="1">
      <c r="C64169"/>
      <c r="M64169"/>
    </row>
    <row r="64170" spans="3:13" ht="12.75" customHeight="1">
      <c r="C64170"/>
      <c r="M64170"/>
    </row>
    <row r="64171" spans="3:13" ht="12.75" customHeight="1">
      <c r="C64171"/>
      <c r="M64171"/>
    </row>
    <row r="64172" spans="3:13" ht="12.75" customHeight="1">
      <c r="C64172"/>
      <c r="M64172"/>
    </row>
    <row r="64173" spans="3:13" ht="12.75" customHeight="1">
      <c r="C64173"/>
      <c r="M64173"/>
    </row>
    <row r="64174" spans="3:13" ht="12.75" customHeight="1">
      <c r="C64174"/>
      <c r="M64174"/>
    </row>
    <row r="64175" spans="3:13" ht="12.75" customHeight="1">
      <c r="C64175"/>
      <c r="M64175"/>
    </row>
    <row r="64176" spans="3:13" ht="12.75" customHeight="1">
      <c r="C64176"/>
      <c r="M64176"/>
    </row>
    <row r="64177" spans="3:13" ht="12.75" customHeight="1">
      <c r="C64177"/>
      <c r="M64177"/>
    </row>
    <row r="64178" spans="3:13" ht="12.75" customHeight="1">
      <c r="C64178"/>
      <c r="M64178"/>
    </row>
    <row r="64179" spans="3:13" ht="12.75" customHeight="1">
      <c r="C64179"/>
      <c r="M64179"/>
    </row>
    <row r="64180" spans="3:13" ht="12.75" customHeight="1">
      <c r="C64180"/>
      <c r="M64180"/>
    </row>
    <row r="64181" spans="3:13" ht="12.75" customHeight="1">
      <c r="C64181"/>
      <c r="M64181"/>
    </row>
    <row r="64182" spans="3:13" ht="12.75" customHeight="1">
      <c r="C64182"/>
      <c r="M64182"/>
    </row>
    <row r="64183" spans="3:13" ht="12.75" customHeight="1">
      <c r="C64183"/>
      <c r="M64183"/>
    </row>
    <row r="64184" spans="3:13" ht="12.75" customHeight="1">
      <c r="C64184"/>
      <c r="M64184"/>
    </row>
    <row r="64185" spans="3:13" ht="12.75" customHeight="1">
      <c r="C64185"/>
      <c r="M64185"/>
    </row>
    <row r="64186" spans="3:13" ht="12.75" customHeight="1">
      <c r="C64186"/>
      <c r="M64186"/>
    </row>
    <row r="64187" spans="3:13" ht="12.75" customHeight="1">
      <c r="C64187"/>
      <c r="M64187"/>
    </row>
    <row r="64188" spans="3:13" ht="12.75" customHeight="1">
      <c r="C64188"/>
      <c r="M64188"/>
    </row>
    <row r="64189" spans="3:13" ht="12.75" customHeight="1">
      <c r="C64189"/>
      <c r="M64189"/>
    </row>
    <row r="64190" spans="3:13" ht="12.75" customHeight="1">
      <c r="C64190"/>
      <c r="M64190"/>
    </row>
    <row r="64191" spans="3:13" ht="12.75" customHeight="1">
      <c r="C64191"/>
      <c r="M64191"/>
    </row>
    <row r="64192" spans="3:13" ht="12.75" customHeight="1">
      <c r="C64192"/>
      <c r="M64192"/>
    </row>
    <row r="64193" spans="3:13" ht="12.75" customHeight="1">
      <c r="C64193"/>
      <c r="M64193"/>
    </row>
    <row r="64194" spans="3:13" ht="12.75" customHeight="1">
      <c r="C64194"/>
      <c r="M64194"/>
    </row>
    <row r="64195" spans="3:13" ht="12.75" customHeight="1">
      <c r="C64195"/>
      <c r="M64195"/>
    </row>
    <row r="64196" spans="3:13" ht="12.75" customHeight="1">
      <c r="C64196"/>
      <c r="M64196"/>
    </row>
    <row r="64197" spans="3:13" ht="12.75" customHeight="1">
      <c r="C64197"/>
      <c r="M64197"/>
    </row>
    <row r="64198" spans="3:13" ht="12.75" customHeight="1">
      <c r="C64198"/>
      <c r="M64198"/>
    </row>
    <row r="64199" spans="3:13" ht="12.75" customHeight="1">
      <c r="C64199"/>
      <c r="M64199"/>
    </row>
    <row r="64200" spans="3:13" ht="12.75" customHeight="1">
      <c r="C64200"/>
      <c r="M64200"/>
    </row>
    <row r="64201" spans="3:13" ht="12.75" customHeight="1">
      <c r="C64201"/>
      <c r="M64201"/>
    </row>
    <row r="64202" spans="3:13" ht="12.75" customHeight="1">
      <c r="C64202"/>
      <c r="M64202"/>
    </row>
    <row r="64203" spans="3:13" ht="12.75" customHeight="1">
      <c r="C64203"/>
      <c r="M64203"/>
    </row>
    <row r="64204" spans="3:13" ht="12.75" customHeight="1">
      <c r="C64204"/>
      <c r="M64204"/>
    </row>
    <row r="64205" spans="3:13" ht="12.75" customHeight="1">
      <c r="C64205"/>
      <c r="M64205"/>
    </row>
    <row r="64206" spans="3:13" ht="12.75" customHeight="1">
      <c r="C64206"/>
      <c r="M64206"/>
    </row>
    <row r="64207" spans="3:13" ht="12.75" customHeight="1">
      <c r="C64207"/>
      <c r="M64207"/>
    </row>
    <row r="64208" spans="3:13" ht="12.75" customHeight="1">
      <c r="C64208"/>
      <c r="M64208"/>
    </row>
    <row r="64209" spans="3:13" ht="12.75" customHeight="1">
      <c r="C64209"/>
      <c r="M64209"/>
    </row>
    <row r="64210" spans="3:13" ht="12.75" customHeight="1">
      <c r="C64210"/>
      <c r="M64210"/>
    </row>
    <row r="64211" spans="3:13" ht="12.75" customHeight="1">
      <c r="C64211"/>
      <c r="M64211"/>
    </row>
    <row r="64212" spans="3:13" ht="12.75" customHeight="1">
      <c r="C64212"/>
      <c r="M64212"/>
    </row>
    <row r="64213" spans="3:13" ht="12.75" customHeight="1">
      <c r="C64213"/>
      <c r="M64213"/>
    </row>
    <row r="64214" spans="3:13" ht="12.75" customHeight="1">
      <c r="C64214"/>
      <c r="M64214"/>
    </row>
    <row r="64215" spans="3:13" ht="12.75" customHeight="1">
      <c r="C64215"/>
      <c r="M64215"/>
    </row>
    <row r="64216" spans="3:13" ht="12.75" customHeight="1">
      <c r="C64216"/>
      <c r="M64216"/>
    </row>
    <row r="64217" spans="3:13" ht="12.75" customHeight="1">
      <c r="C64217"/>
      <c r="M64217"/>
    </row>
    <row r="64218" spans="3:13" ht="12.75" customHeight="1">
      <c r="C64218"/>
      <c r="M64218"/>
    </row>
    <row r="64219" spans="3:13" ht="12.75" customHeight="1">
      <c r="C64219"/>
      <c r="M64219"/>
    </row>
    <row r="64220" spans="3:13" ht="12.75" customHeight="1">
      <c r="C64220"/>
      <c r="M64220"/>
    </row>
    <row r="64221" spans="3:13" ht="12.75" customHeight="1">
      <c r="C64221"/>
      <c r="M64221"/>
    </row>
    <row r="64222" spans="3:13" ht="12.75" customHeight="1">
      <c r="C64222"/>
      <c r="M64222"/>
    </row>
    <row r="64223" spans="3:13" ht="12.75" customHeight="1">
      <c r="C64223"/>
      <c r="M64223"/>
    </row>
    <row r="64224" spans="3:13" ht="12.75" customHeight="1">
      <c r="C64224"/>
      <c r="M64224"/>
    </row>
    <row r="64225" spans="3:13" ht="12.75" customHeight="1">
      <c r="C64225"/>
      <c r="M64225"/>
    </row>
    <row r="64226" spans="3:13" ht="12.75" customHeight="1">
      <c r="C64226"/>
      <c r="M64226"/>
    </row>
    <row r="64227" spans="3:13" ht="12.75" customHeight="1">
      <c r="C64227"/>
      <c r="M64227"/>
    </row>
    <row r="64228" spans="3:13" ht="12.75" customHeight="1">
      <c r="C64228"/>
      <c r="M64228"/>
    </row>
    <row r="64229" spans="3:13" ht="12.75" customHeight="1">
      <c r="C64229"/>
      <c r="M64229"/>
    </row>
    <row r="64230" spans="3:13" ht="12.75" customHeight="1">
      <c r="C64230"/>
      <c r="M64230"/>
    </row>
    <row r="64231" spans="3:13" ht="12.75" customHeight="1">
      <c r="C64231"/>
      <c r="M64231"/>
    </row>
    <row r="64232" spans="3:13" ht="12.75" customHeight="1">
      <c r="C64232"/>
      <c r="M64232"/>
    </row>
    <row r="64233" spans="3:13" ht="12.75" customHeight="1">
      <c r="C64233"/>
      <c r="M64233"/>
    </row>
    <row r="64234" spans="3:13" ht="12.75" customHeight="1">
      <c r="C64234"/>
      <c r="M64234"/>
    </row>
    <row r="64235" spans="3:13" ht="12.75" customHeight="1">
      <c r="C64235"/>
      <c r="M64235"/>
    </row>
    <row r="64236" spans="3:13" ht="12.75" customHeight="1">
      <c r="C64236"/>
      <c r="M64236"/>
    </row>
    <row r="64237" spans="3:13" ht="12.75" customHeight="1">
      <c r="C64237"/>
      <c r="M64237"/>
    </row>
    <row r="64238" spans="3:13" ht="12.75" customHeight="1">
      <c r="C64238"/>
      <c r="M64238"/>
    </row>
    <row r="64239" spans="3:13" ht="12.75" customHeight="1">
      <c r="C64239"/>
      <c r="M64239"/>
    </row>
    <row r="64240" spans="3:13" ht="12.75" customHeight="1">
      <c r="C64240"/>
      <c r="M64240"/>
    </row>
    <row r="64241" spans="3:13" ht="12.75" customHeight="1">
      <c r="C64241"/>
      <c r="M64241"/>
    </row>
    <row r="64242" spans="3:13" ht="12.75" customHeight="1">
      <c r="C64242"/>
      <c r="M64242"/>
    </row>
    <row r="64243" spans="3:13" ht="12.75" customHeight="1">
      <c r="C64243"/>
      <c r="M64243"/>
    </row>
    <row r="64244" spans="3:13" ht="12.75" customHeight="1">
      <c r="C64244"/>
      <c r="M64244"/>
    </row>
    <row r="64245" spans="3:13" ht="12.75" customHeight="1">
      <c r="C64245"/>
      <c r="M64245"/>
    </row>
    <row r="64246" spans="3:13" ht="12.75" customHeight="1">
      <c r="C64246"/>
      <c r="M64246"/>
    </row>
    <row r="64247" spans="3:13" ht="12.75" customHeight="1">
      <c r="C64247"/>
      <c r="M64247"/>
    </row>
    <row r="64248" spans="3:13" ht="12.75" customHeight="1">
      <c r="C64248"/>
      <c r="M64248"/>
    </row>
    <row r="64249" spans="3:13" ht="12.75" customHeight="1">
      <c r="C64249"/>
      <c r="M64249"/>
    </row>
    <row r="64250" spans="3:13" ht="12.75" customHeight="1">
      <c r="C64250"/>
      <c r="M64250"/>
    </row>
    <row r="64251" spans="3:13" ht="12.75" customHeight="1">
      <c r="C64251"/>
      <c r="M64251"/>
    </row>
    <row r="64252" spans="3:13" ht="12.75" customHeight="1">
      <c r="C64252"/>
      <c r="M64252"/>
    </row>
    <row r="64253" spans="3:13" ht="12.75" customHeight="1">
      <c r="C64253"/>
      <c r="M64253"/>
    </row>
    <row r="64254" spans="3:13" ht="12.75" customHeight="1">
      <c r="C64254"/>
      <c r="M64254"/>
    </row>
    <row r="64255" spans="3:13" ht="12.75" customHeight="1">
      <c r="C64255"/>
      <c r="M64255"/>
    </row>
    <row r="64256" spans="3:13" ht="12.75" customHeight="1">
      <c r="C64256"/>
      <c r="M64256"/>
    </row>
    <row r="64257" spans="3:13" ht="12.75" customHeight="1">
      <c r="C64257"/>
      <c r="M64257"/>
    </row>
    <row r="64258" spans="3:13" ht="12.75" customHeight="1">
      <c r="C64258"/>
      <c r="M64258"/>
    </row>
    <row r="64259" spans="3:13" ht="12.75" customHeight="1">
      <c r="C64259"/>
      <c r="M64259"/>
    </row>
    <row r="64260" spans="3:13" ht="12.75" customHeight="1">
      <c r="C64260"/>
      <c r="M64260"/>
    </row>
    <row r="64261" spans="3:13" ht="12.75" customHeight="1">
      <c r="C64261"/>
      <c r="M64261"/>
    </row>
    <row r="64262" spans="3:13" ht="12.75" customHeight="1">
      <c r="C64262"/>
      <c r="M64262"/>
    </row>
    <row r="64263" spans="3:13" ht="12.75" customHeight="1">
      <c r="C64263"/>
      <c r="M64263"/>
    </row>
    <row r="64264" spans="3:13" ht="12.75" customHeight="1">
      <c r="C64264"/>
      <c r="M64264"/>
    </row>
    <row r="64265" spans="3:13" ht="12.75" customHeight="1">
      <c r="C64265"/>
      <c r="M64265"/>
    </row>
    <row r="64266" spans="3:13" ht="12.75" customHeight="1">
      <c r="C64266"/>
      <c r="M64266"/>
    </row>
    <row r="64267" spans="3:13" ht="12.75" customHeight="1">
      <c r="C64267"/>
      <c r="M64267"/>
    </row>
    <row r="64268" spans="3:13" ht="12.75" customHeight="1">
      <c r="C64268"/>
      <c r="M64268"/>
    </row>
    <row r="64269" spans="3:13" ht="12.75" customHeight="1">
      <c r="C64269"/>
      <c r="M64269"/>
    </row>
    <row r="64270" spans="3:13" ht="12.75" customHeight="1">
      <c r="C64270"/>
      <c r="M64270"/>
    </row>
    <row r="64271" spans="3:13" ht="12.75" customHeight="1">
      <c r="C64271"/>
      <c r="M64271"/>
    </row>
    <row r="64272" spans="3:13" ht="12.75" customHeight="1">
      <c r="C64272"/>
      <c r="M64272"/>
    </row>
    <row r="64273" spans="3:13" ht="12.75" customHeight="1">
      <c r="C64273"/>
      <c r="M64273"/>
    </row>
    <row r="64274" spans="3:13" ht="12.75" customHeight="1">
      <c r="C64274"/>
      <c r="M64274"/>
    </row>
    <row r="64275" spans="3:13" ht="12.75" customHeight="1">
      <c r="C64275"/>
      <c r="M64275"/>
    </row>
    <row r="64276" spans="3:13" ht="12.75" customHeight="1">
      <c r="C64276"/>
      <c r="M64276"/>
    </row>
    <row r="64277" spans="3:13" ht="12.75" customHeight="1">
      <c r="C64277"/>
      <c r="M64277"/>
    </row>
    <row r="64278" spans="3:13" ht="12.75" customHeight="1">
      <c r="C64278"/>
      <c r="M64278"/>
    </row>
    <row r="64279" spans="3:13" ht="12.75" customHeight="1">
      <c r="C64279"/>
      <c r="M64279"/>
    </row>
    <row r="64280" spans="3:13" ht="12.75" customHeight="1">
      <c r="C64280"/>
      <c r="M64280"/>
    </row>
    <row r="64281" spans="3:13" ht="12.75" customHeight="1">
      <c r="C64281"/>
      <c r="M64281"/>
    </row>
    <row r="64282" spans="3:13" ht="12.75" customHeight="1">
      <c r="C64282"/>
      <c r="M64282"/>
    </row>
    <row r="64283" spans="3:13" ht="12.75" customHeight="1">
      <c r="C64283"/>
      <c r="M64283"/>
    </row>
    <row r="64284" spans="3:13" ht="12.75" customHeight="1">
      <c r="C64284"/>
      <c r="M64284"/>
    </row>
    <row r="64285" spans="3:13" ht="12.75" customHeight="1">
      <c r="C64285"/>
      <c r="M64285"/>
    </row>
    <row r="64286" spans="3:13" ht="12.75" customHeight="1">
      <c r="C64286"/>
      <c r="M64286"/>
    </row>
    <row r="64287" spans="3:13" ht="12.75" customHeight="1">
      <c r="C64287"/>
      <c r="M64287"/>
    </row>
    <row r="64288" spans="3:13" ht="12.75" customHeight="1">
      <c r="C64288"/>
      <c r="M64288"/>
    </row>
    <row r="64289" spans="3:13" ht="12.75" customHeight="1">
      <c r="C64289"/>
      <c r="M64289"/>
    </row>
    <row r="64290" spans="3:13" ht="12.75" customHeight="1">
      <c r="C64290"/>
      <c r="M64290"/>
    </row>
    <row r="64291" spans="3:13" ht="12.75" customHeight="1">
      <c r="C64291"/>
      <c r="M64291"/>
    </row>
    <row r="64292" spans="3:13" ht="12.75" customHeight="1">
      <c r="C64292"/>
      <c r="M64292"/>
    </row>
    <row r="64293" spans="3:13" ht="12.75" customHeight="1">
      <c r="C64293"/>
      <c r="M64293"/>
    </row>
    <row r="64294" spans="3:13" ht="12.75" customHeight="1">
      <c r="C64294"/>
      <c r="M64294"/>
    </row>
    <row r="64295" spans="3:13" ht="12.75" customHeight="1">
      <c r="C64295"/>
      <c r="M64295"/>
    </row>
    <row r="64296" spans="3:13" ht="12.75" customHeight="1">
      <c r="C64296"/>
      <c r="M64296"/>
    </row>
    <row r="64297" spans="3:13" ht="12.75" customHeight="1">
      <c r="C64297"/>
      <c r="M64297"/>
    </row>
    <row r="64298" spans="3:13" ht="12.75" customHeight="1">
      <c r="C64298"/>
      <c r="M64298"/>
    </row>
    <row r="64299" spans="3:13" ht="12.75" customHeight="1">
      <c r="C64299"/>
      <c r="M64299"/>
    </row>
    <row r="64300" spans="3:13" ht="12.75" customHeight="1">
      <c r="C64300"/>
      <c r="M64300"/>
    </row>
    <row r="64301" spans="3:13" ht="12.75" customHeight="1">
      <c r="C64301"/>
      <c r="M64301"/>
    </row>
    <row r="64302" spans="3:13" ht="12.75" customHeight="1">
      <c r="C64302"/>
      <c r="M64302"/>
    </row>
    <row r="64303" spans="3:13" ht="12.75" customHeight="1">
      <c r="C64303"/>
      <c r="M64303"/>
    </row>
    <row r="64304" spans="3:13" ht="12.75" customHeight="1">
      <c r="C64304"/>
      <c r="M64304"/>
    </row>
    <row r="64305" spans="3:13" ht="12.75" customHeight="1">
      <c r="C64305"/>
      <c r="M64305"/>
    </row>
    <row r="64306" spans="3:13" ht="12.75" customHeight="1">
      <c r="C64306"/>
      <c r="M64306"/>
    </row>
    <row r="64307" spans="3:13" ht="12.75" customHeight="1">
      <c r="C64307"/>
      <c r="M64307"/>
    </row>
    <row r="64308" spans="3:13" ht="12.75" customHeight="1">
      <c r="C64308"/>
      <c r="M64308"/>
    </row>
    <row r="64309" spans="3:13" ht="12.75" customHeight="1">
      <c r="C64309"/>
      <c r="M64309"/>
    </row>
    <row r="64310" spans="3:13" ht="12.75" customHeight="1">
      <c r="C64310"/>
      <c r="M64310"/>
    </row>
    <row r="64311" spans="3:13" ht="12.75" customHeight="1">
      <c r="C64311"/>
      <c r="M64311"/>
    </row>
    <row r="64312" spans="3:13" ht="12.75" customHeight="1">
      <c r="C64312"/>
      <c r="M64312"/>
    </row>
    <row r="64313" spans="3:13" ht="12.75" customHeight="1">
      <c r="C64313"/>
      <c r="M64313"/>
    </row>
    <row r="64314" spans="3:13" ht="12.75" customHeight="1">
      <c r="C64314"/>
      <c r="M64314"/>
    </row>
    <row r="64315" spans="3:13" ht="12.75" customHeight="1">
      <c r="C64315"/>
      <c r="M64315"/>
    </row>
    <row r="64316" spans="3:13" ht="12.75" customHeight="1">
      <c r="C64316"/>
      <c r="M64316"/>
    </row>
    <row r="64317" spans="3:13" ht="12.75" customHeight="1">
      <c r="C64317"/>
      <c r="M64317"/>
    </row>
    <row r="64318" spans="3:13" ht="12.75" customHeight="1">
      <c r="C64318"/>
      <c r="M64318"/>
    </row>
    <row r="64319" spans="3:13" ht="12.75" customHeight="1">
      <c r="C64319"/>
      <c r="M64319"/>
    </row>
    <row r="64320" spans="3:13" ht="12.75" customHeight="1">
      <c r="C64320"/>
      <c r="M64320"/>
    </row>
    <row r="64321" spans="3:13" ht="12.75" customHeight="1">
      <c r="C64321"/>
      <c r="M64321"/>
    </row>
    <row r="64322" spans="3:13" ht="12.75" customHeight="1">
      <c r="C64322"/>
      <c r="M64322"/>
    </row>
    <row r="64323" spans="3:13" ht="12.75" customHeight="1">
      <c r="C64323"/>
      <c r="M64323"/>
    </row>
    <row r="64324" spans="3:13" ht="12.75" customHeight="1">
      <c r="C64324"/>
      <c r="M64324"/>
    </row>
    <row r="64325" spans="3:13" ht="12.75" customHeight="1">
      <c r="C64325"/>
      <c r="M64325"/>
    </row>
    <row r="64326" spans="3:13" ht="12.75" customHeight="1">
      <c r="C64326"/>
      <c r="M64326"/>
    </row>
    <row r="64327" spans="3:13" ht="12.75" customHeight="1">
      <c r="C64327"/>
      <c r="M64327"/>
    </row>
    <row r="64328" spans="3:13" ht="12.75" customHeight="1">
      <c r="C64328"/>
      <c r="M64328"/>
    </row>
    <row r="64329" spans="3:13" ht="12.75" customHeight="1">
      <c r="C64329"/>
      <c r="M64329"/>
    </row>
    <row r="64330" spans="3:13" ht="12.75" customHeight="1">
      <c r="C64330"/>
      <c r="M64330"/>
    </row>
    <row r="64331" spans="3:13" ht="12.75" customHeight="1">
      <c r="C64331"/>
      <c r="M64331"/>
    </row>
    <row r="64332" spans="3:13" ht="12.75" customHeight="1">
      <c r="C64332"/>
      <c r="M64332"/>
    </row>
    <row r="64333" spans="3:13" ht="12.75" customHeight="1">
      <c r="C64333"/>
      <c r="M64333"/>
    </row>
    <row r="64334" spans="3:13" ht="12.75" customHeight="1">
      <c r="C64334"/>
      <c r="M64334"/>
    </row>
    <row r="64335" spans="3:13" ht="12.75" customHeight="1">
      <c r="C64335"/>
      <c r="M64335"/>
    </row>
    <row r="64336" spans="3:13" ht="12.75" customHeight="1">
      <c r="C64336"/>
      <c r="M64336"/>
    </row>
    <row r="64337" spans="3:13" ht="12.75" customHeight="1">
      <c r="C64337"/>
      <c r="M64337"/>
    </row>
    <row r="64338" spans="3:13" ht="12.75" customHeight="1">
      <c r="C64338"/>
      <c r="M64338"/>
    </row>
    <row r="64339" spans="3:13" ht="12.75" customHeight="1">
      <c r="C64339"/>
      <c r="M64339"/>
    </row>
    <row r="64340" spans="3:13" ht="12.75" customHeight="1">
      <c r="C64340"/>
      <c r="M64340"/>
    </row>
    <row r="64341" spans="3:13" ht="12.75" customHeight="1">
      <c r="C64341"/>
      <c r="M64341"/>
    </row>
    <row r="64342" spans="3:13" ht="12.75" customHeight="1">
      <c r="C64342"/>
      <c r="M64342"/>
    </row>
    <row r="64343" spans="3:13" ht="12.75" customHeight="1">
      <c r="C64343"/>
      <c r="M64343"/>
    </row>
    <row r="64344" spans="3:13" ht="12.75" customHeight="1">
      <c r="C64344"/>
      <c r="M64344"/>
    </row>
    <row r="64345" spans="3:13" ht="12.75" customHeight="1">
      <c r="C64345"/>
      <c r="M64345"/>
    </row>
    <row r="64346" spans="3:13" ht="12.75" customHeight="1">
      <c r="C64346"/>
      <c r="M64346"/>
    </row>
    <row r="64347" spans="3:13" ht="12.75" customHeight="1">
      <c r="C64347"/>
      <c r="M64347"/>
    </row>
    <row r="64348" spans="3:13" ht="12.75" customHeight="1">
      <c r="C64348"/>
      <c r="M64348"/>
    </row>
    <row r="64349" spans="3:13" ht="12.75" customHeight="1">
      <c r="C64349"/>
      <c r="M64349"/>
    </row>
    <row r="64350" spans="3:13" ht="12.75" customHeight="1">
      <c r="C64350"/>
      <c r="M64350"/>
    </row>
    <row r="64351" spans="3:13" ht="12.75" customHeight="1">
      <c r="C64351"/>
      <c r="M64351"/>
    </row>
    <row r="64352" spans="3:13" ht="12.75" customHeight="1">
      <c r="C64352"/>
      <c r="M64352"/>
    </row>
    <row r="64353" spans="3:13" ht="12.75" customHeight="1">
      <c r="C64353"/>
      <c r="M64353"/>
    </row>
    <row r="64354" spans="3:13" ht="12.75" customHeight="1">
      <c r="C64354"/>
      <c r="M64354"/>
    </row>
    <row r="64355" spans="3:13" ht="12.75" customHeight="1">
      <c r="C64355"/>
      <c r="M64355"/>
    </row>
    <row r="64356" spans="3:13" ht="12.75" customHeight="1">
      <c r="C64356"/>
      <c r="M64356"/>
    </row>
    <row r="64357" spans="3:13" ht="12.75" customHeight="1">
      <c r="C64357"/>
      <c r="M64357"/>
    </row>
    <row r="64358" spans="3:13" ht="12.75" customHeight="1">
      <c r="C64358"/>
      <c r="M64358"/>
    </row>
    <row r="64359" spans="3:13" ht="12.75" customHeight="1">
      <c r="C64359"/>
      <c r="M64359"/>
    </row>
    <row r="64360" spans="3:13" ht="12.75" customHeight="1">
      <c r="C64360"/>
      <c r="M64360"/>
    </row>
    <row r="64361" spans="3:13" ht="12.75" customHeight="1">
      <c r="C64361"/>
      <c r="M64361"/>
    </row>
    <row r="64362" spans="3:13" ht="12.75" customHeight="1">
      <c r="C64362"/>
      <c r="M64362"/>
    </row>
    <row r="64363" spans="3:13" ht="12.75" customHeight="1">
      <c r="C64363"/>
      <c r="M64363"/>
    </row>
    <row r="64364" spans="3:13" ht="12.75" customHeight="1">
      <c r="C64364"/>
      <c r="M64364"/>
    </row>
    <row r="64365" spans="3:13" ht="12.75" customHeight="1">
      <c r="C64365"/>
      <c r="M64365"/>
    </row>
    <row r="64366" spans="3:13" ht="12.75" customHeight="1">
      <c r="C64366"/>
      <c r="M64366"/>
    </row>
    <row r="64367" spans="3:13" ht="12.75" customHeight="1">
      <c r="C64367"/>
      <c r="M64367"/>
    </row>
    <row r="64368" spans="3:13" ht="12.75" customHeight="1">
      <c r="C64368"/>
      <c r="M64368"/>
    </row>
    <row r="64369" spans="3:13" ht="12.75" customHeight="1">
      <c r="C64369"/>
      <c r="M64369"/>
    </row>
    <row r="64370" spans="3:13" ht="12.75" customHeight="1">
      <c r="C64370"/>
      <c r="M64370"/>
    </row>
    <row r="64371" spans="3:13" ht="12.75" customHeight="1">
      <c r="C64371"/>
      <c r="M64371"/>
    </row>
    <row r="64372" spans="3:13" ht="12.75" customHeight="1">
      <c r="C64372"/>
      <c r="M64372"/>
    </row>
    <row r="64373" spans="3:13" ht="12.75" customHeight="1">
      <c r="C64373"/>
      <c r="M64373"/>
    </row>
    <row r="64374" spans="3:13" ht="12.75" customHeight="1">
      <c r="C64374"/>
      <c r="M64374"/>
    </row>
    <row r="64375" spans="3:13" ht="12.75" customHeight="1">
      <c r="C64375"/>
      <c r="M64375"/>
    </row>
    <row r="64376" spans="3:13" ht="12.75" customHeight="1">
      <c r="C64376"/>
      <c r="M64376"/>
    </row>
    <row r="64377" spans="3:13" ht="12.75" customHeight="1">
      <c r="C64377"/>
      <c r="M64377"/>
    </row>
    <row r="64378" spans="3:13" ht="12.75" customHeight="1">
      <c r="C64378"/>
      <c r="M64378"/>
    </row>
    <row r="64379" spans="3:13" ht="12.75" customHeight="1">
      <c r="C64379"/>
      <c r="M64379"/>
    </row>
    <row r="64380" spans="3:13" ht="12.75" customHeight="1">
      <c r="C64380"/>
      <c r="M64380"/>
    </row>
    <row r="64381" spans="3:13" ht="12.75" customHeight="1">
      <c r="C64381"/>
      <c r="M64381"/>
    </row>
    <row r="64382" spans="3:13" ht="12.75" customHeight="1">
      <c r="C64382"/>
      <c r="M64382"/>
    </row>
    <row r="64383" spans="3:13" ht="12.75" customHeight="1">
      <c r="C64383"/>
      <c r="M64383"/>
    </row>
    <row r="64384" spans="3:13" ht="12.75" customHeight="1">
      <c r="C64384"/>
      <c r="M64384"/>
    </row>
    <row r="64385" spans="3:13" ht="12.75" customHeight="1">
      <c r="C64385"/>
      <c r="M64385"/>
    </row>
    <row r="64386" spans="3:13" ht="12.75" customHeight="1">
      <c r="C64386"/>
      <c r="M64386"/>
    </row>
    <row r="64387" spans="3:13" ht="12.75" customHeight="1">
      <c r="C64387"/>
      <c r="M64387"/>
    </row>
    <row r="64388" spans="3:13" ht="12.75" customHeight="1">
      <c r="C64388"/>
      <c r="M64388"/>
    </row>
    <row r="64389" spans="3:13" ht="12.75" customHeight="1">
      <c r="C64389"/>
      <c r="M64389"/>
    </row>
    <row r="64390" spans="3:13" ht="12.75" customHeight="1">
      <c r="C64390"/>
      <c r="M64390"/>
    </row>
    <row r="64391" spans="3:13" ht="12.75" customHeight="1">
      <c r="C64391"/>
      <c r="M64391"/>
    </row>
    <row r="64392" spans="3:13" ht="12.75" customHeight="1">
      <c r="C64392"/>
      <c r="M64392"/>
    </row>
    <row r="64393" spans="3:13" ht="12.75" customHeight="1">
      <c r="C64393"/>
      <c r="M64393"/>
    </row>
    <row r="64394" spans="3:13" ht="12.75" customHeight="1">
      <c r="C64394"/>
      <c r="M64394"/>
    </row>
    <row r="64395" spans="3:13" ht="12.75" customHeight="1">
      <c r="C64395"/>
      <c r="M64395"/>
    </row>
    <row r="64396" spans="3:13" ht="12.75" customHeight="1">
      <c r="C64396"/>
      <c r="M64396"/>
    </row>
    <row r="64397" spans="3:13" ht="12.75" customHeight="1">
      <c r="C64397"/>
      <c r="M64397"/>
    </row>
    <row r="64398" spans="3:13" ht="12.75" customHeight="1">
      <c r="C64398"/>
      <c r="M64398"/>
    </row>
    <row r="64399" spans="3:13" ht="12.75" customHeight="1">
      <c r="C64399"/>
      <c r="M64399"/>
    </row>
    <row r="64400" spans="3:13" ht="12.75" customHeight="1">
      <c r="C64400"/>
      <c r="M64400"/>
    </row>
    <row r="64401" spans="3:13" ht="12.75" customHeight="1">
      <c r="C64401"/>
      <c r="M64401"/>
    </row>
    <row r="64402" spans="3:13" ht="12.75" customHeight="1">
      <c r="C64402"/>
      <c r="M64402"/>
    </row>
    <row r="64403" spans="3:13" ht="12.75" customHeight="1">
      <c r="C64403"/>
      <c r="M64403"/>
    </row>
    <row r="64404" spans="3:13" ht="12.75" customHeight="1">
      <c r="C64404"/>
      <c r="M64404"/>
    </row>
    <row r="64405" spans="3:13" ht="12.75" customHeight="1">
      <c r="C64405"/>
      <c r="M64405"/>
    </row>
    <row r="64406" spans="3:13" ht="12.75" customHeight="1">
      <c r="C64406"/>
      <c r="M64406"/>
    </row>
    <row r="64407" spans="3:13" ht="12.75" customHeight="1">
      <c r="C64407"/>
      <c r="M64407"/>
    </row>
    <row r="64408" spans="3:13" ht="12.75" customHeight="1">
      <c r="C64408"/>
      <c r="M64408"/>
    </row>
    <row r="64409" spans="3:13" ht="12.75" customHeight="1">
      <c r="C64409"/>
      <c r="M64409"/>
    </row>
    <row r="64410" spans="3:13" ht="12.75" customHeight="1">
      <c r="C64410"/>
      <c r="M64410"/>
    </row>
    <row r="64411" spans="3:13" ht="12.75" customHeight="1">
      <c r="C64411"/>
      <c r="M64411"/>
    </row>
    <row r="64412" spans="3:13" ht="12.75" customHeight="1">
      <c r="C64412"/>
      <c r="M64412"/>
    </row>
    <row r="64413" spans="3:13" ht="12.75" customHeight="1">
      <c r="C64413"/>
      <c r="M64413"/>
    </row>
    <row r="64414" spans="3:13" ht="12.75" customHeight="1">
      <c r="C64414"/>
      <c r="M64414"/>
    </row>
    <row r="64415" spans="3:13" ht="12.75" customHeight="1">
      <c r="C64415"/>
      <c r="M64415"/>
    </row>
    <row r="64416" spans="3:13" ht="12.75" customHeight="1">
      <c r="C64416"/>
      <c r="M64416"/>
    </row>
    <row r="64417" spans="3:13" ht="12.75" customHeight="1">
      <c r="C64417"/>
      <c r="M64417"/>
    </row>
    <row r="64418" spans="3:13" ht="12.75" customHeight="1">
      <c r="C64418"/>
      <c r="M64418"/>
    </row>
    <row r="64419" spans="3:13" ht="12.75" customHeight="1">
      <c r="C64419"/>
      <c r="M64419"/>
    </row>
    <row r="64420" spans="3:13" ht="12.75" customHeight="1">
      <c r="C64420"/>
      <c r="M64420"/>
    </row>
    <row r="64421" spans="3:13" ht="12.75" customHeight="1">
      <c r="C64421"/>
      <c r="M64421"/>
    </row>
    <row r="64422" spans="3:13" ht="12.75" customHeight="1">
      <c r="C64422"/>
      <c r="M64422"/>
    </row>
    <row r="64423" spans="3:13" ht="12.75" customHeight="1">
      <c r="C64423"/>
      <c r="M64423"/>
    </row>
    <row r="64424" spans="3:13" ht="12.75" customHeight="1">
      <c r="C64424"/>
      <c r="M64424"/>
    </row>
    <row r="64425" spans="3:13" ht="12.75" customHeight="1">
      <c r="C64425"/>
      <c r="M64425"/>
    </row>
    <row r="64426" spans="3:13" ht="12.75" customHeight="1">
      <c r="C64426"/>
      <c r="M64426"/>
    </row>
    <row r="64427" spans="3:13" ht="12.75" customHeight="1">
      <c r="C64427"/>
      <c r="M64427"/>
    </row>
    <row r="64428" spans="3:13" ht="12.75" customHeight="1">
      <c r="C64428"/>
      <c r="M64428"/>
    </row>
    <row r="64429" spans="3:13" ht="12.75" customHeight="1">
      <c r="C64429"/>
      <c r="M64429"/>
    </row>
    <row r="64430" spans="3:13" ht="12.75" customHeight="1">
      <c r="C64430"/>
      <c r="M64430"/>
    </row>
    <row r="64431" spans="3:13" ht="12.75" customHeight="1">
      <c r="C64431"/>
      <c r="M64431"/>
    </row>
    <row r="64432" spans="3:13" ht="12.75" customHeight="1">
      <c r="C64432"/>
      <c r="M64432"/>
    </row>
    <row r="64433" spans="3:13" ht="12.75" customHeight="1">
      <c r="C64433"/>
      <c r="M64433"/>
    </row>
    <row r="64434" spans="3:13" ht="12.75" customHeight="1">
      <c r="C64434"/>
      <c r="M64434"/>
    </row>
    <row r="64435" spans="3:13" ht="12.75" customHeight="1">
      <c r="C64435"/>
      <c r="M64435"/>
    </row>
    <row r="64436" spans="3:13" ht="12.75" customHeight="1">
      <c r="C64436"/>
      <c r="M64436"/>
    </row>
    <row r="64437" spans="3:13" ht="12.75" customHeight="1">
      <c r="C64437"/>
      <c r="M64437"/>
    </row>
    <row r="64438" spans="3:13" ht="12.75" customHeight="1">
      <c r="C64438"/>
      <c r="M64438"/>
    </row>
    <row r="64439" spans="3:13" ht="12.75" customHeight="1">
      <c r="C64439"/>
      <c r="M64439"/>
    </row>
    <row r="64440" spans="3:13" ht="12.75" customHeight="1">
      <c r="C64440"/>
      <c r="M64440"/>
    </row>
    <row r="64441" spans="3:13" ht="12.75" customHeight="1">
      <c r="C64441"/>
      <c r="M64441"/>
    </row>
    <row r="64442" spans="3:13" ht="12.75" customHeight="1">
      <c r="C64442"/>
      <c r="M64442"/>
    </row>
    <row r="64443" spans="3:13" ht="12.75" customHeight="1">
      <c r="C64443"/>
      <c r="M64443"/>
    </row>
    <row r="64444" spans="3:13" ht="12.75" customHeight="1">
      <c r="C64444"/>
      <c r="M64444"/>
    </row>
    <row r="64445" spans="3:13" ht="12.75" customHeight="1">
      <c r="C64445"/>
      <c r="M64445"/>
    </row>
    <row r="64446" spans="3:13" ht="12.75" customHeight="1">
      <c r="C64446"/>
      <c r="M64446"/>
    </row>
    <row r="64447" spans="3:13" ht="12.75" customHeight="1">
      <c r="C64447"/>
      <c r="M64447"/>
    </row>
    <row r="64448" spans="3:13" ht="12.75" customHeight="1">
      <c r="C64448"/>
      <c r="M64448"/>
    </row>
    <row r="64449" spans="3:13" ht="12.75" customHeight="1">
      <c r="C64449"/>
      <c r="M64449"/>
    </row>
    <row r="64450" spans="3:13" ht="12.75" customHeight="1">
      <c r="C64450"/>
      <c r="M64450"/>
    </row>
    <row r="64451" spans="3:13" ht="12.75" customHeight="1">
      <c r="C64451"/>
      <c r="M64451"/>
    </row>
    <row r="64452" spans="3:13" ht="12.75" customHeight="1">
      <c r="C64452"/>
      <c r="M64452"/>
    </row>
    <row r="64453" spans="3:13" ht="12.75" customHeight="1">
      <c r="C64453"/>
      <c r="M64453"/>
    </row>
    <row r="64454" spans="3:13" ht="12.75" customHeight="1">
      <c r="C64454"/>
      <c r="M64454"/>
    </row>
    <row r="64455" spans="3:13" ht="12.75" customHeight="1">
      <c r="C64455"/>
      <c r="M64455"/>
    </row>
    <row r="64456" spans="3:13" ht="12.75" customHeight="1">
      <c r="C64456"/>
      <c r="M64456"/>
    </row>
    <row r="64457" spans="3:13" ht="12.75" customHeight="1">
      <c r="C64457"/>
      <c r="M64457"/>
    </row>
    <row r="64458" spans="3:13" ht="12.75" customHeight="1">
      <c r="C64458"/>
      <c r="M64458"/>
    </row>
    <row r="64459" spans="3:13" ht="12.75" customHeight="1">
      <c r="C64459"/>
      <c r="M64459"/>
    </row>
    <row r="64460" spans="3:13" ht="12.75" customHeight="1">
      <c r="C64460"/>
      <c r="M64460"/>
    </row>
    <row r="64461" spans="3:13" ht="12.75" customHeight="1">
      <c r="C64461"/>
      <c r="M64461"/>
    </row>
    <row r="64462" spans="3:13" ht="12.75" customHeight="1">
      <c r="C64462"/>
      <c r="M64462"/>
    </row>
    <row r="64463" spans="3:13" ht="12.75" customHeight="1">
      <c r="C64463"/>
      <c r="M64463"/>
    </row>
    <row r="64464" spans="3:13" ht="12.75" customHeight="1">
      <c r="C64464"/>
      <c r="M64464"/>
    </row>
    <row r="64465" spans="3:13" ht="12.75" customHeight="1">
      <c r="C64465"/>
      <c r="M64465"/>
    </row>
    <row r="64466" spans="3:13" ht="12.75" customHeight="1">
      <c r="C64466"/>
      <c r="M64466"/>
    </row>
    <row r="64467" spans="3:13" ht="12.75" customHeight="1">
      <c r="C64467"/>
      <c r="M64467"/>
    </row>
    <row r="64468" spans="3:13" ht="12.75" customHeight="1">
      <c r="C64468"/>
      <c r="M64468"/>
    </row>
    <row r="64469" spans="3:13" ht="12.75" customHeight="1">
      <c r="C64469"/>
      <c r="M64469"/>
    </row>
    <row r="64470" spans="3:13" ht="12.75" customHeight="1">
      <c r="C64470"/>
      <c r="M64470"/>
    </row>
    <row r="64471" spans="3:13" ht="12.75" customHeight="1">
      <c r="C64471"/>
      <c r="M64471"/>
    </row>
    <row r="64472" spans="3:13" ht="12.75" customHeight="1">
      <c r="C64472"/>
      <c r="M64472"/>
    </row>
    <row r="64473" spans="3:13" ht="12.75" customHeight="1">
      <c r="C64473"/>
      <c r="M64473"/>
    </row>
    <row r="64474" spans="3:13" ht="12.75" customHeight="1">
      <c r="C64474"/>
      <c r="M64474"/>
    </row>
    <row r="64475" spans="3:13" ht="12.75" customHeight="1">
      <c r="C64475"/>
      <c r="M64475"/>
    </row>
    <row r="64476" spans="3:13" ht="12.75" customHeight="1">
      <c r="C64476"/>
      <c r="M64476"/>
    </row>
    <row r="64477" spans="3:13" ht="12.75" customHeight="1">
      <c r="C64477"/>
      <c r="M64477"/>
    </row>
    <row r="64478" spans="3:13" ht="12.75" customHeight="1">
      <c r="C64478"/>
      <c r="M64478"/>
    </row>
    <row r="64479" spans="3:13" ht="12.75" customHeight="1">
      <c r="C64479"/>
      <c r="M64479"/>
    </row>
    <row r="64480" spans="3:13" ht="12.75" customHeight="1">
      <c r="C64480"/>
      <c r="M64480"/>
    </row>
    <row r="64481" spans="3:13" ht="12.75" customHeight="1">
      <c r="C64481"/>
      <c r="M64481"/>
    </row>
    <row r="64482" spans="3:13" ht="12.75" customHeight="1">
      <c r="C64482"/>
      <c r="M64482"/>
    </row>
    <row r="64483" spans="3:13" ht="12.75" customHeight="1">
      <c r="C64483"/>
      <c r="M64483"/>
    </row>
    <row r="64484" spans="3:13" ht="12.75" customHeight="1">
      <c r="C64484"/>
      <c r="M64484"/>
    </row>
    <row r="64485" spans="3:13" ht="12.75" customHeight="1">
      <c r="C64485"/>
      <c r="M64485"/>
    </row>
    <row r="64486" spans="3:13" ht="12.75" customHeight="1">
      <c r="C64486"/>
      <c r="M64486"/>
    </row>
    <row r="64487" spans="3:13" ht="12.75" customHeight="1">
      <c r="C64487"/>
      <c r="M64487"/>
    </row>
    <row r="64488" spans="3:13" ht="12.75" customHeight="1">
      <c r="C64488"/>
      <c r="M64488"/>
    </row>
    <row r="64489" spans="3:13" ht="12.75" customHeight="1">
      <c r="C64489"/>
      <c r="M64489"/>
    </row>
    <row r="64490" spans="3:13" ht="12.75" customHeight="1">
      <c r="C64490"/>
      <c r="M64490"/>
    </row>
    <row r="64491" spans="3:13" ht="12.75" customHeight="1">
      <c r="C64491"/>
      <c r="M64491"/>
    </row>
    <row r="64492" spans="3:13" ht="12.75" customHeight="1">
      <c r="C64492"/>
      <c r="M64492"/>
    </row>
    <row r="64493" spans="3:13" ht="12.75" customHeight="1">
      <c r="C64493"/>
      <c r="M64493"/>
    </row>
    <row r="64494" spans="3:13" ht="12.75" customHeight="1">
      <c r="C64494"/>
      <c r="M64494"/>
    </row>
    <row r="64495" spans="3:13" ht="12.75" customHeight="1">
      <c r="C64495"/>
      <c r="M64495"/>
    </row>
    <row r="64496" spans="3:13" ht="12.75" customHeight="1">
      <c r="C64496"/>
      <c r="M64496"/>
    </row>
    <row r="64497" spans="3:13" ht="12.75" customHeight="1">
      <c r="C64497"/>
      <c r="M64497"/>
    </row>
    <row r="64498" spans="3:13" ht="12.75" customHeight="1">
      <c r="C64498"/>
      <c r="M64498"/>
    </row>
    <row r="64499" spans="3:13" ht="12.75" customHeight="1">
      <c r="C64499"/>
      <c r="M64499"/>
    </row>
    <row r="64500" spans="3:13" ht="12.75" customHeight="1">
      <c r="C64500"/>
      <c r="M64500"/>
    </row>
    <row r="64501" spans="3:13" ht="12.75" customHeight="1">
      <c r="C64501"/>
      <c r="M64501"/>
    </row>
    <row r="64502" spans="3:13" ht="12.75" customHeight="1">
      <c r="C64502"/>
      <c r="M64502"/>
    </row>
    <row r="64503" spans="3:13" ht="12.75" customHeight="1">
      <c r="C64503"/>
      <c r="M64503"/>
    </row>
    <row r="64504" spans="3:13" ht="12.75" customHeight="1">
      <c r="C64504"/>
      <c r="M64504"/>
    </row>
    <row r="64505" spans="3:13" ht="12.75" customHeight="1">
      <c r="C64505"/>
      <c r="M64505"/>
    </row>
    <row r="64506" spans="3:13" ht="12.75" customHeight="1">
      <c r="C64506"/>
      <c r="M64506"/>
    </row>
    <row r="64507" spans="3:13" ht="12.75" customHeight="1">
      <c r="C64507"/>
      <c r="M64507"/>
    </row>
    <row r="64508" spans="3:13" ht="12.75" customHeight="1">
      <c r="C64508"/>
      <c r="M64508"/>
    </row>
    <row r="64509" spans="3:13" ht="12.75" customHeight="1">
      <c r="C64509"/>
      <c r="M64509"/>
    </row>
    <row r="64510" spans="3:13" ht="12.75" customHeight="1">
      <c r="C64510"/>
      <c r="M64510"/>
    </row>
    <row r="64511" spans="3:13" ht="12.75" customHeight="1">
      <c r="C64511"/>
      <c r="M64511"/>
    </row>
    <row r="64512" spans="3:13" ht="12.75" customHeight="1">
      <c r="C64512"/>
      <c r="M64512"/>
    </row>
    <row r="64513" spans="3:13" ht="12.75" customHeight="1">
      <c r="C64513"/>
      <c r="M64513"/>
    </row>
    <row r="64514" spans="3:13" ht="12.75" customHeight="1">
      <c r="C64514"/>
      <c r="M64514"/>
    </row>
    <row r="64515" spans="3:13" ht="12.75" customHeight="1">
      <c r="C64515"/>
      <c r="M64515"/>
    </row>
    <row r="64516" spans="3:13" ht="12.75" customHeight="1">
      <c r="C64516"/>
      <c r="M64516"/>
    </row>
    <row r="64517" spans="3:13" ht="12.75" customHeight="1">
      <c r="C64517"/>
      <c r="M64517"/>
    </row>
    <row r="64518" spans="3:13" ht="12.75" customHeight="1">
      <c r="C64518"/>
      <c r="M64518"/>
    </row>
    <row r="64519" spans="3:13" ht="12.75" customHeight="1">
      <c r="C64519"/>
      <c r="M64519"/>
    </row>
    <row r="64520" spans="3:13" ht="12.75" customHeight="1">
      <c r="C64520"/>
      <c r="M64520"/>
    </row>
    <row r="64521" spans="3:13" ht="12.75" customHeight="1">
      <c r="C64521"/>
      <c r="M64521"/>
    </row>
    <row r="64522" spans="3:13" ht="12.75" customHeight="1">
      <c r="C64522"/>
      <c r="M64522"/>
    </row>
    <row r="64523" spans="3:13" ht="12.75" customHeight="1">
      <c r="C64523"/>
      <c r="M64523"/>
    </row>
    <row r="64524" spans="3:13" ht="12.75" customHeight="1">
      <c r="C64524"/>
      <c r="M64524"/>
    </row>
    <row r="64525" spans="3:13" ht="12.75" customHeight="1">
      <c r="C64525"/>
      <c r="M64525"/>
    </row>
    <row r="64526" spans="3:13" ht="12.75" customHeight="1">
      <c r="C64526"/>
      <c r="M64526"/>
    </row>
    <row r="64527" spans="3:13" ht="12.75" customHeight="1">
      <c r="C64527"/>
      <c r="M64527"/>
    </row>
    <row r="64528" spans="3:13" ht="12.75" customHeight="1">
      <c r="C64528"/>
      <c r="M64528"/>
    </row>
    <row r="64529" spans="3:13" ht="12.75" customHeight="1">
      <c r="C64529"/>
      <c r="M64529"/>
    </row>
    <row r="64530" spans="3:13" ht="12.75" customHeight="1">
      <c r="C64530"/>
      <c r="M64530"/>
    </row>
    <row r="64531" spans="3:13" ht="12.75" customHeight="1">
      <c r="C64531"/>
      <c r="M64531"/>
    </row>
    <row r="64532" spans="3:13" ht="12.75" customHeight="1">
      <c r="C64532"/>
      <c r="M64532"/>
    </row>
    <row r="64533" spans="3:13" ht="12.75" customHeight="1">
      <c r="C64533"/>
      <c r="M64533"/>
    </row>
    <row r="64534" spans="3:13" ht="12.75" customHeight="1">
      <c r="C64534"/>
      <c r="M64534"/>
    </row>
    <row r="64535" spans="3:13" ht="12.75" customHeight="1">
      <c r="C64535"/>
      <c r="M64535"/>
    </row>
    <row r="64536" spans="3:13" ht="12.75" customHeight="1">
      <c r="C64536"/>
      <c r="M64536"/>
    </row>
    <row r="64537" spans="3:13" ht="12.75" customHeight="1">
      <c r="C64537"/>
      <c r="M64537"/>
    </row>
    <row r="64538" spans="3:13" ht="12.75" customHeight="1">
      <c r="C64538"/>
      <c r="M64538"/>
    </row>
    <row r="64539" spans="3:13" ht="12.75" customHeight="1">
      <c r="C64539"/>
      <c r="M64539"/>
    </row>
    <row r="64540" spans="3:13" ht="12.75" customHeight="1">
      <c r="C64540"/>
      <c r="M64540"/>
    </row>
    <row r="64541" spans="3:13" ht="12.75" customHeight="1">
      <c r="C64541"/>
      <c r="M64541"/>
    </row>
    <row r="64542" spans="3:13" ht="12.75" customHeight="1">
      <c r="C64542"/>
      <c r="M64542"/>
    </row>
    <row r="64543" spans="3:13" ht="12.75" customHeight="1">
      <c r="C64543"/>
      <c r="M64543"/>
    </row>
    <row r="64544" spans="3:13" ht="12.75" customHeight="1">
      <c r="C64544"/>
      <c r="M64544"/>
    </row>
    <row r="64545" spans="3:13" ht="12.75" customHeight="1">
      <c r="C64545"/>
      <c r="M64545"/>
    </row>
    <row r="64546" spans="3:13" ht="12.75" customHeight="1">
      <c r="C64546"/>
      <c r="M64546"/>
    </row>
    <row r="64547" spans="3:13" ht="12.75" customHeight="1">
      <c r="C64547"/>
      <c r="M64547"/>
    </row>
    <row r="64548" spans="3:13" ht="12.75" customHeight="1">
      <c r="C64548"/>
      <c r="M64548"/>
    </row>
    <row r="64549" spans="3:13" ht="12.75" customHeight="1">
      <c r="C64549"/>
      <c r="M64549"/>
    </row>
    <row r="64550" spans="3:13" ht="12.75" customHeight="1">
      <c r="C64550"/>
      <c r="M64550"/>
    </row>
    <row r="64551" spans="3:13" ht="12.75" customHeight="1">
      <c r="C64551"/>
      <c r="M64551"/>
    </row>
    <row r="64552" spans="3:13" ht="12.75" customHeight="1">
      <c r="C64552"/>
      <c r="M64552"/>
    </row>
    <row r="64553" spans="3:13" ht="12.75" customHeight="1">
      <c r="C64553"/>
      <c r="M64553"/>
    </row>
    <row r="64554" spans="3:13" ht="12.75" customHeight="1">
      <c r="C64554"/>
      <c r="M64554"/>
    </row>
    <row r="64555" spans="3:13" ht="12.75" customHeight="1">
      <c r="C64555"/>
      <c r="M64555"/>
    </row>
    <row r="64556" spans="3:13" ht="12.75" customHeight="1">
      <c r="C64556"/>
      <c r="M64556"/>
    </row>
    <row r="64557" spans="3:13" ht="12.75" customHeight="1">
      <c r="C64557"/>
      <c r="M64557"/>
    </row>
    <row r="64558" spans="3:13" ht="12.75" customHeight="1">
      <c r="C64558"/>
      <c r="M64558"/>
    </row>
    <row r="64559" spans="3:13" ht="12.75" customHeight="1">
      <c r="C64559"/>
      <c r="M64559"/>
    </row>
    <row r="64560" spans="3:13" ht="12.75" customHeight="1">
      <c r="C64560"/>
      <c r="M64560"/>
    </row>
    <row r="64561" spans="3:13" ht="12.75" customHeight="1">
      <c r="C64561"/>
      <c r="M64561"/>
    </row>
    <row r="64562" spans="3:13" ht="12.75" customHeight="1">
      <c r="C64562"/>
      <c r="M64562"/>
    </row>
    <row r="64563" spans="3:13" ht="12.75" customHeight="1">
      <c r="C64563"/>
      <c r="M64563"/>
    </row>
    <row r="64564" spans="3:13" ht="12.75" customHeight="1">
      <c r="C64564"/>
      <c r="M64564"/>
    </row>
    <row r="64565" spans="3:13" ht="12.75" customHeight="1">
      <c r="C64565"/>
      <c r="M64565"/>
    </row>
    <row r="64566" spans="3:13" ht="12.75" customHeight="1">
      <c r="C64566"/>
      <c r="M64566"/>
    </row>
    <row r="64567" spans="3:13" ht="12.75" customHeight="1">
      <c r="C64567"/>
      <c r="M64567"/>
    </row>
    <row r="64568" spans="3:13" ht="12.75" customHeight="1">
      <c r="C64568"/>
      <c r="M64568"/>
    </row>
    <row r="64569" spans="3:13" ht="12.75" customHeight="1">
      <c r="C64569"/>
      <c r="M64569"/>
    </row>
    <row r="64570" spans="3:13" ht="12.75" customHeight="1">
      <c r="C64570"/>
      <c r="M64570"/>
    </row>
    <row r="64571" spans="3:13" ht="12.75" customHeight="1">
      <c r="C64571"/>
      <c r="M64571"/>
    </row>
    <row r="64572" spans="3:13" ht="12.75" customHeight="1">
      <c r="C64572"/>
      <c r="M64572"/>
    </row>
    <row r="64573" spans="3:13" ht="12.75" customHeight="1">
      <c r="C64573"/>
      <c r="M64573"/>
    </row>
    <row r="64574" spans="3:13" ht="12.75" customHeight="1">
      <c r="C64574"/>
      <c r="M64574"/>
    </row>
    <row r="64575" spans="3:13" ht="12.75" customHeight="1">
      <c r="C64575"/>
      <c r="M64575"/>
    </row>
    <row r="64576" spans="3:13" ht="12.75" customHeight="1">
      <c r="C64576"/>
      <c r="M64576"/>
    </row>
    <row r="64577" spans="3:13" ht="12.75" customHeight="1">
      <c r="C64577"/>
      <c r="M64577"/>
    </row>
    <row r="64578" spans="3:13" ht="12.75" customHeight="1">
      <c r="C64578"/>
      <c r="M64578"/>
    </row>
    <row r="64579" spans="3:13" ht="12.75" customHeight="1">
      <c r="C64579"/>
      <c r="M64579"/>
    </row>
    <row r="64580" spans="3:13" ht="12.75" customHeight="1">
      <c r="C64580"/>
      <c r="M64580"/>
    </row>
    <row r="64581" spans="3:13" ht="12.75" customHeight="1">
      <c r="C64581"/>
      <c r="M64581"/>
    </row>
    <row r="64582" spans="3:13" ht="12.75" customHeight="1">
      <c r="C64582"/>
      <c r="M64582"/>
    </row>
    <row r="64583" spans="3:13" ht="12.75" customHeight="1">
      <c r="C64583"/>
      <c r="M64583"/>
    </row>
    <row r="64584" spans="3:13" ht="12.75" customHeight="1">
      <c r="C64584"/>
      <c r="M64584"/>
    </row>
    <row r="64585" spans="3:13" ht="12.75" customHeight="1">
      <c r="C64585"/>
      <c r="M64585"/>
    </row>
    <row r="64586" spans="3:13" ht="12.75" customHeight="1">
      <c r="C64586"/>
      <c r="M64586"/>
    </row>
    <row r="64587" spans="3:13" ht="12.75" customHeight="1">
      <c r="C64587"/>
      <c r="M64587"/>
    </row>
    <row r="64588" spans="3:13" ht="12.75" customHeight="1">
      <c r="C64588"/>
      <c r="M64588"/>
    </row>
    <row r="64589" spans="3:13" ht="12.75" customHeight="1">
      <c r="C64589"/>
      <c r="M64589"/>
    </row>
    <row r="64590" spans="3:13" ht="12.75" customHeight="1">
      <c r="C64590"/>
      <c r="M64590"/>
    </row>
    <row r="64591" spans="3:13" ht="12.75" customHeight="1">
      <c r="C64591"/>
      <c r="M64591"/>
    </row>
    <row r="64592" spans="3:13" ht="12.75" customHeight="1">
      <c r="C64592"/>
      <c r="M64592"/>
    </row>
    <row r="64593" spans="3:13" ht="12.75" customHeight="1">
      <c r="C64593"/>
      <c r="M64593"/>
    </row>
    <row r="64594" spans="3:13" ht="12.75" customHeight="1">
      <c r="C64594"/>
      <c r="M64594"/>
    </row>
    <row r="64595" spans="3:13" ht="12.75" customHeight="1">
      <c r="C64595"/>
      <c r="M64595"/>
    </row>
    <row r="64596" spans="3:13" ht="12.75" customHeight="1">
      <c r="C64596"/>
      <c r="M64596"/>
    </row>
    <row r="64597" spans="3:13" ht="12.75" customHeight="1">
      <c r="C64597"/>
      <c r="M64597"/>
    </row>
    <row r="64598" spans="3:13" ht="12.75" customHeight="1">
      <c r="C64598"/>
      <c r="M64598"/>
    </row>
    <row r="64599" spans="3:13" ht="12.75" customHeight="1">
      <c r="C64599"/>
      <c r="M64599"/>
    </row>
    <row r="64600" spans="3:13" ht="12.75" customHeight="1">
      <c r="C64600"/>
      <c r="M64600"/>
    </row>
    <row r="64601" spans="3:13" ht="12.75" customHeight="1">
      <c r="C64601"/>
      <c r="M64601"/>
    </row>
    <row r="64602" spans="3:13" ht="12.75" customHeight="1">
      <c r="C64602"/>
      <c r="M64602"/>
    </row>
    <row r="64603" spans="3:13" ht="12.75" customHeight="1">
      <c r="C64603"/>
      <c r="M64603"/>
    </row>
    <row r="64604" spans="3:13" ht="12.75" customHeight="1">
      <c r="C64604"/>
      <c r="M64604"/>
    </row>
    <row r="64605" spans="3:13" ht="12.75" customHeight="1">
      <c r="C64605"/>
      <c r="M64605"/>
    </row>
    <row r="64606" spans="3:13" ht="12.75" customHeight="1">
      <c r="C64606"/>
      <c r="M64606"/>
    </row>
    <row r="64607" spans="3:13" ht="12.75" customHeight="1">
      <c r="C64607"/>
      <c r="M64607"/>
    </row>
    <row r="64608" spans="3:13" ht="12.75" customHeight="1">
      <c r="C64608"/>
      <c r="M64608"/>
    </row>
    <row r="64609" spans="3:13" ht="12.75" customHeight="1">
      <c r="C64609"/>
      <c r="M64609"/>
    </row>
    <row r="64610" spans="3:13" ht="12.75" customHeight="1">
      <c r="C64610"/>
      <c r="M64610"/>
    </row>
    <row r="64611" spans="3:13" ht="12.75" customHeight="1">
      <c r="C64611"/>
      <c r="M64611"/>
    </row>
    <row r="64612" spans="3:13" ht="12.75" customHeight="1">
      <c r="C64612"/>
      <c r="M64612"/>
    </row>
    <row r="64613" spans="3:13" ht="12.75" customHeight="1">
      <c r="C64613"/>
      <c r="M64613"/>
    </row>
    <row r="64614" spans="3:13" ht="12.75" customHeight="1">
      <c r="C64614"/>
      <c r="M64614"/>
    </row>
    <row r="64615" spans="3:13" ht="12.75" customHeight="1">
      <c r="C64615"/>
      <c r="M64615"/>
    </row>
    <row r="64616" spans="3:13" ht="12.75" customHeight="1">
      <c r="C64616"/>
      <c r="M64616"/>
    </row>
    <row r="64617" spans="3:13" ht="12.75" customHeight="1">
      <c r="C64617"/>
      <c r="M64617"/>
    </row>
    <row r="64618" spans="3:13" ht="12.75" customHeight="1">
      <c r="C64618"/>
      <c r="M64618"/>
    </row>
    <row r="64619" spans="3:13" ht="12.75" customHeight="1">
      <c r="C64619"/>
      <c r="M64619"/>
    </row>
    <row r="64620" spans="3:13" ht="12.75" customHeight="1">
      <c r="C64620"/>
      <c r="M64620"/>
    </row>
    <row r="64621" spans="3:13" ht="12.75" customHeight="1">
      <c r="C64621"/>
      <c r="M64621"/>
    </row>
    <row r="64622" spans="3:13" ht="12.75" customHeight="1">
      <c r="C64622"/>
      <c r="M64622"/>
    </row>
    <row r="64623" spans="3:13" ht="12.75" customHeight="1">
      <c r="C64623"/>
      <c r="M64623"/>
    </row>
    <row r="64624" spans="3:13" ht="12.75" customHeight="1">
      <c r="C64624"/>
      <c r="M64624"/>
    </row>
    <row r="64625" spans="3:13" ht="12.75" customHeight="1">
      <c r="C64625"/>
      <c r="M64625"/>
    </row>
    <row r="64626" spans="3:13" ht="12.75" customHeight="1">
      <c r="C64626"/>
      <c r="M64626"/>
    </row>
    <row r="64627" spans="3:13" ht="12.75" customHeight="1">
      <c r="C64627"/>
      <c r="M64627"/>
    </row>
    <row r="64628" spans="3:13" ht="12.75" customHeight="1">
      <c r="C64628"/>
      <c r="M64628"/>
    </row>
    <row r="64629" spans="3:13" ht="12.75" customHeight="1">
      <c r="C64629"/>
      <c r="M64629"/>
    </row>
    <row r="64630" spans="3:13" ht="12.75" customHeight="1">
      <c r="C64630"/>
      <c r="M64630"/>
    </row>
    <row r="64631" spans="3:13" ht="12.75" customHeight="1">
      <c r="C64631"/>
      <c r="M64631"/>
    </row>
    <row r="64632" spans="3:13" ht="12.75" customHeight="1">
      <c r="C64632"/>
      <c r="M64632"/>
    </row>
    <row r="64633" spans="3:13" ht="12.75" customHeight="1">
      <c r="C64633"/>
      <c r="M64633"/>
    </row>
    <row r="64634" spans="3:13" ht="12.75" customHeight="1">
      <c r="C64634"/>
      <c r="M64634"/>
    </row>
    <row r="64635" spans="3:13" ht="12.75" customHeight="1">
      <c r="C64635"/>
      <c r="M64635"/>
    </row>
    <row r="64636" spans="3:13" ht="12.75" customHeight="1">
      <c r="C64636"/>
      <c r="M64636"/>
    </row>
    <row r="64637" spans="3:13" ht="12.75" customHeight="1">
      <c r="C64637"/>
      <c r="M64637"/>
    </row>
    <row r="64638" spans="3:13" ht="12.75" customHeight="1">
      <c r="C64638"/>
      <c r="M64638"/>
    </row>
    <row r="64639" spans="3:13" ht="12.75" customHeight="1">
      <c r="C64639"/>
      <c r="M64639"/>
    </row>
    <row r="64640" spans="3:13" ht="12.75" customHeight="1">
      <c r="C64640"/>
      <c r="M64640"/>
    </row>
    <row r="64641" spans="3:13" ht="12.75" customHeight="1">
      <c r="C64641"/>
      <c r="M64641"/>
    </row>
    <row r="64642" spans="3:13" ht="12.75" customHeight="1">
      <c r="C64642"/>
      <c r="M64642"/>
    </row>
    <row r="64643" spans="3:13" ht="12.75" customHeight="1">
      <c r="C64643"/>
      <c r="M64643"/>
    </row>
    <row r="64644" spans="3:13" ht="12.75" customHeight="1">
      <c r="C64644"/>
      <c r="M64644"/>
    </row>
    <row r="64645" spans="3:13" ht="12.75" customHeight="1">
      <c r="C64645"/>
      <c r="M64645"/>
    </row>
    <row r="64646" spans="3:13" ht="12.75" customHeight="1">
      <c r="C64646"/>
      <c r="M64646"/>
    </row>
    <row r="64647" spans="3:13" ht="12.75" customHeight="1">
      <c r="C64647"/>
      <c r="M64647"/>
    </row>
    <row r="64648" spans="3:13" ht="12.75" customHeight="1">
      <c r="C64648"/>
      <c r="M64648"/>
    </row>
    <row r="64649" spans="3:13" ht="12.75" customHeight="1">
      <c r="C64649"/>
      <c r="M64649"/>
    </row>
    <row r="64650" spans="3:13" ht="12.75" customHeight="1">
      <c r="C64650"/>
      <c r="M64650"/>
    </row>
    <row r="64651" spans="3:13" ht="12.75" customHeight="1">
      <c r="C64651"/>
      <c r="M64651"/>
    </row>
    <row r="64652" spans="3:13" ht="12.75" customHeight="1">
      <c r="C64652"/>
      <c r="M64652"/>
    </row>
    <row r="64653" spans="3:13" ht="12.75" customHeight="1">
      <c r="C64653"/>
      <c r="M64653"/>
    </row>
    <row r="64654" spans="3:13" ht="12.75" customHeight="1">
      <c r="C64654"/>
      <c r="M64654"/>
    </row>
    <row r="64655" spans="3:13" ht="12.75" customHeight="1">
      <c r="C64655"/>
      <c r="M64655"/>
    </row>
    <row r="64656" spans="3:13" ht="12.75" customHeight="1">
      <c r="C64656"/>
      <c r="M64656"/>
    </row>
    <row r="64657" spans="3:13" ht="12.75" customHeight="1">
      <c r="C64657"/>
      <c r="M64657"/>
    </row>
    <row r="64658" spans="3:13" ht="12.75" customHeight="1">
      <c r="C64658"/>
      <c r="M64658"/>
    </row>
    <row r="64659" spans="3:13" ht="12.75" customHeight="1">
      <c r="C64659"/>
      <c r="M64659"/>
    </row>
    <row r="64660" spans="3:13" ht="12.75" customHeight="1">
      <c r="C64660"/>
      <c r="M64660"/>
    </row>
    <row r="64661" spans="3:13" ht="12.75" customHeight="1">
      <c r="C64661"/>
      <c r="M64661"/>
    </row>
    <row r="64662" spans="3:13" ht="12.75" customHeight="1">
      <c r="C64662"/>
      <c r="M64662"/>
    </row>
    <row r="64663" spans="3:13" ht="12.75" customHeight="1">
      <c r="C64663"/>
      <c r="M64663"/>
    </row>
    <row r="64664" spans="3:13" ht="12.75" customHeight="1">
      <c r="C64664"/>
      <c r="M64664"/>
    </row>
    <row r="64665" spans="3:13" ht="12.75" customHeight="1">
      <c r="C64665"/>
      <c r="M64665"/>
    </row>
    <row r="64666" spans="3:13" ht="12.75" customHeight="1">
      <c r="C64666"/>
      <c r="M64666"/>
    </row>
    <row r="64667" spans="3:13" ht="12.75" customHeight="1">
      <c r="C64667"/>
      <c r="M64667"/>
    </row>
    <row r="64668" spans="3:13" ht="12.75" customHeight="1">
      <c r="C64668"/>
      <c r="M64668"/>
    </row>
    <row r="64669" spans="3:13" ht="12.75" customHeight="1">
      <c r="C64669"/>
      <c r="M64669"/>
    </row>
    <row r="64670" spans="3:13" ht="12.75" customHeight="1">
      <c r="C64670"/>
      <c r="M64670"/>
    </row>
    <row r="64671" spans="3:13" ht="12.75" customHeight="1">
      <c r="C64671"/>
      <c r="M64671"/>
    </row>
    <row r="64672" spans="3:13" ht="12.75" customHeight="1">
      <c r="C64672"/>
      <c r="M64672"/>
    </row>
    <row r="64673" spans="3:13" ht="12.75" customHeight="1">
      <c r="C64673"/>
      <c r="M64673"/>
    </row>
    <row r="64674" spans="3:13" ht="12.75" customHeight="1">
      <c r="C64674"/>
      <c r="M64674"/>
    </row>
    <row r="64675" spans="3:13" ht="12.75" customHeight="1">
      <c r="C64675"/>
      <c r="M64675"/>
    </row>
    <row r="64676" spans="3:13" ht="12.75" customHeight="1">
      <c r="C64676"/>
      <c r="M64676"/>
    </row>
    <row r="64677" spans="3:13" ht="12.75" customHeight="1">
      <c r="C64677"/>
      <c r="M64677"/>
    </row>
    <row r="64678" spans="3:13" ht="12.75" customHeight="1">
      <c r="C64678"/>
      <c r="M64678"/>
    </row>
    <row r="64679" spans="3:13" ht="12.75" customHeight="1">
      <c r="C64679"/>
      <c r="M64679"/>
    </row>
    <row r="64680" spans="3:13" ht="12.75" customHeight="1">
      <c r="C64680"/>
      <c r="M64680"/>
    </row>
    <row r="64681" spans="3:13" ht="12.75" customHeight="1">
      <c r="C64681"/>
      <c r="M64681"/>
    </row>
    <row r="64682" spans="3:13" ht="12.75" customHeight="1">
      <c r="C64682"/>
      <c r="M64682"/>
    </row>
    <row r="64683" spans="3:13" ht="12.75" customHeight="1">
      <c r="C64683"/>
      <c r="M64683"/>
    </row>
    <row r="64684" spans="3:13" ht="12.75" customHeight="1">
      <c r="C64684"/>
      <c r="M64684"/>
    </row>
    <row r="64685" spans="3:13" ht="12.75" customHeight="1">
      <c r="C64685"/>
      <c r="M64685"/>
    </row>
    <row r="64686" spans="3:13" ht="12.75" customHeight="1">
      <c r="C64686"/>
      <c r="M64686"/>
    </row>
    <row r="64687" spans="3:13" ht="12.75" customHeight="1">
      <c r="C64687"/>
      <c r="M64687"/>
    </row>
    <row r="64688" spans="3:13" ht="12.75" customHeight="1">
      <c r="C64688"/>
      <c r="M64688"/>
    </row>
    <row r="64689" spans="3:13" ht="12.75" customHeight="1">
      <c r="C64689"/>
      <c r="M64689"/>
    </row>
    <row r="64690" spans="3:13" ht="12.75" customHeight="1">
      <c r="C64690"/>
      <c r="M64690"/>
    </row>
    <row r="64691" spans="3:13" ht="12.75" customHeight="1">
      <c r="C64691"/>
      <c r="M64691"/>
    </row>
    <row r="64692" spans="3:13" ht="12.75" customHeight="1">
      <c r="C64692"/>
      <c r="M64692"/>
    </row>
    <row r="64693" spans="3:13" ht="12.75" customHeight="1">
      <c r="C64693"/>
      <c r="M64693"/>
    </row>
    <row r="64694" spans="3:13" ht="12.75" customHeight="1">
      <c r="C64694"/>
      <c r="M64694"/>
    </row>
    <row r="64695" spans="3:13" ht="12.75" customHeight="1">
      <c r="C64695"/>
      <c r="M64695"/>
    </row>
    <row r="64696" spans="3:13" ht="12.75" customHeight="1">
      <c r="C64696"/>
      <c r="M64696"/>
    </row>
    <row r="64697" spans="3:13" ht="12.75" customHeight="1">
      <c r="C64697"/>
      <c r="M64697"/>
    </row>
    <row r="64698" spans="3:13" ht="12.75" customHeight="1">
      <c r="C64698"/>
      <c r="M64698"/>
    </row>
    <row r="64699" spans="3:13" ht="12.75" customHeight="1">
      <c r="C64699"/>
      <c r="M64699"/>
    </row>
    <row r="64700" spans="3:13" ht="12.75" customHeight="1">
      <c r="C64700"/>
      <c r="M64700"/>
    </row>
    <row r="64701" spans="3:13" ht="12.75" customHeight="1">
      <c r="C64701"/>
      <c r="M64701"/>
    </row>
    <row r="64702" spans="3:13" ht="12.75" customHeight="1">
      <c r="C64702"/>
      <c r="M64702"/>
    </row>
    <row r="64703" spans="3:13" ht="12.75" customHeight="1">
      <c r="C64703"/>
      <c r="M64703"/>
    </row>
    <row r="64704" spans="3:13" ht="12.75" customHeight="1">
      <c r="C64704"/>
      <c r="M64704"/>
    </row>
    <row r="64705" spans="3:13" ht="12.75" customHeight="1">
      <c r="C64705"/>
      <c r="M64705"/>
    </row>
    <row r="64706" spans="3:13" ht="12.75" customHeight="1">
      <c r="C64706"/>
      <c r="M64706"/>
    </row>
    <row r="64707" spans="3:13" ht="12.75" customHeight="1">
      <c r="C64707"/>
      <c r="M64707"/>
    </row>
    <row r="64708" spans="3:13" ht="12.75" customHeight="1">
      <c r="C64708"/>
      <c r="M64708"/>
    </row>
    <row r="64709" spans="3:13" ht="12.75" customHeight="1">
      <c r="C64709"/>
      <c r="M64709"/>
    </row>
    <row r="64710" spans="3:13" ht="12.75" customHeight="1">
      <c r="C64710"/>
      <c r="M64710"/>
    </row>
    <row r="64711" spans="3:13" ht="12.75" customHeight="1">
      <c r="C64711"/>
      <c r="M64711"/>
    </row>
    <row r="64712" spans="3:13" ht="12.75" customHeight="1">
      <c r="C64712"/>
      <c r="M64712"/>
    </row>
    <row r="64713" spans="3:13" ht="12.75" customHeight="1">
      <c r="C64713"/>
      <c r="M64713"/>
    </row>
    <row r="64714" spans="3:13" ht="12.75" customHeight="1">
      <c r="C64714"/>
      <c r="M64714"/>
    </row>
    <row r="64715" spans="3:13" ht="12.75" customHeight="1">
      <c r="C64715"/>
      <c r="M64715"/>
    </row>
    <row r="64716" spans="3:13" ht="12.75" customHeight="1">
      <c r="C64716"/>
      <c r="M64716"/>
    </row>
    <row r="64717" spans="3:13" ht="12.75" customHeight="1">
      <c r="C64717"/>
      <c r="M64717"/>
    </row>
    <row r="64718" spans="3:13" ht="12.75" customHeight="1">
      <c r="C64718"/>
      <c r="M64718"/>
    </row>
    <row r="64719" spans="3:13" ht="12.75" customHeight="1">
      <c r="C64719"/>
      <c r="M64719"/>
    </row>
    <row r="64720" spans="3:13" ht="12.75" customHeight="1">
      <c r="C64720"/>
      <c r="M64720"/>
    </row>
    <row r="64721" spans="3:13" ht="12.75" customHeight="1">
      <c r="C64721"/>
      <c r="M64721"/>
    </row>
    <row r="64722" spans="3:13" ht="12.75" customHeight="1">
      <c r="C64722"/>
      <c r="M64722"/>
    </row>
    <row r="64723" spans="3:13" ht="12.75" customHeight="1">
      <c r="C64723"/>
      <c r="M64723"/>
    </row>
    <row r="64724" spans="3:13" ht="12.75" customHeight="1">
      <c r="C64724"/>
      <c r="M64724"/>
    </row>
    <row r="64725" spans="3:13" ht="12.75" customHeight="1">
      <c r="C64725"/>
      <c r="M64725"/>
    </row>
    <row r="64726" spans="3:13" ht="12.75" customHeight="1">
      <c r="C64726"/>
      <c r="M64726"/>
    </row>
    <row r="64727" spans="3:13" ht="12.75" customHeight="1">
      <c r="C64727"/>
      <c r="M64727"/>
    </row>
    <row r="64728" spans="3:13" ht="12.75" customHeight="1">
      <c r="C64728"/>
      <c r="M64728"/>
    </row>
    <row r="64729" spans="3:13" ht="12.75" customHeight="1">
      <c r="C64729"/>
      <c r="M64729"/>
    </row>
    <row r="64730" spans="3:13" ht="12.75" customHeight="1">
      <c r="C64730"/>
      <c r="M64730"/>
    </row>
    <row r="64731" spans="3:13" ht="12.75" customHeight="1">
      <c r="C64731"/>
      <c r="M64731"/>
    </row>
    <row r="64732" spans="3:13" ht="12.75" customHeight="1">
      <c r="C64732"/>
      <c r="M64732"/>
    </row>
    <row r="64733" spans="3:13" ht="12.75" customHeight="1">
      <c r="C64733"/>
      <c r="M64733"/>
    </row>
    <row r="64734" spans="3:13" ht="12.75" customHeight="1">
      <c r="C64734"/>
      <c r="M64734"/>
    </row>
    <row r="64735" spans="3:13" ht="12.75" customHeight="1">
      <c r="C64735"/>
      <c r="M64735"/>
    </row>
    <row r="64736" spans="3:13" ht="12.75" customHeight="1">
      <c r="C64736"/>
      <c r="M64736"/>
    </row>
    <row r="64737" spans="3:13" ht="12.75" customHeight="1">
      <c r="C64737"/>
      <c r="M64737"/>
    </row>
    <row r="64738" spans="3:13" ht="12.75" customHeight="1">
      <c r="C64738"/>
      <c r="M64738"/>
    </row>
    <row r="64739" spans="3:13" ht="12.75" customHeight="1">
      <c r="C64739"/>
      <c r="M64739"/>
    </row>
    <row r="64740" spans="3:13" ht="12.75" customHeight="1">
      <c r="C64740"/>
      <c r="M64740"/>
    </row>
    <row r="64741" spans="3:13" ht="12.75" customHeight="1">
      <c r="C64741"/>
      <c r="M64741"/>
    </row>
    <row r="64742" spans="3:13" ht="12.75" customHeight="1">
      <c r="C64742"/>
      <c r="M64742"/>
    </row>
    <row r="64743" spans="3:13" ht="12.75" customHeight="1">
      <c r="C64743"/>
      <c r="M64743"/>
    </row>
    <row r="64744" spans="3:13" ht="12.75" customHeight="1">
      <c r="C64744"/>
      <c r="M64744"/>
    </row>
    <row r="64745" spans="3:13" ht="12.75" customHeight="1">
      <c r="C64745"/>
      <c r="M64745"/>
    </row>
    <row r="64746" spans="3:13" ht="12.75" customHeight="1">
      <c r="C64746"/>
      <c r="M64746"/>
    </row>
    <row r="64747" spans="3:13" ht="12.75" customHeight="1">
      <c r="C64747"/>
      <c r="M64747"/>
    </row>
    <row r="64748" spans="3:13" ht="12.75" customHeight="1">
      <c r="C64748"/>
      <c r="M64748"/>
    </row>
    <row r="64749" spans="3:13" ht="12.75" customHeight="1">
      <c r="C64749"/>
      <c r="M64749"/>
    </row>
    <row r="64750" spans="3:13" ht="12.75" customHeight="1">
      <c r="C64750"/>
      <c r="M64750"/>
    </row>
    <row r="64751" spans="3:13" ht="12.75" customHeight="1">
      <c r="C64751"/>
      <c r="M64751"/>
    </row>
    <row r="64752" spans="3:13" ht="12.75" customHeight="1">
      <c r="C64752"/>
      <c r="M64752"/>
    </row>
    <row r="64753" spans="3:13" ht="12.75" customHeight="1">
      <c r="C64753"/>
      <c r="M64753"/>
    </row>
    <row r="64754" spans="3:13" ht="12.75" customHeight="1">
      <c r="C64754"/>
      <c r="M64754"/>
    </row>
    <row r="64755" spans="3:13" ht="12.75" customHeight="1">
      <c r="C64755"/>
      <c r="M64755"/>
    </row>
    <row r="64756" spans="3:13" ht="12.75" customHeight="1">
      <c r="C64756"/>
      <c r="M64756"/>
    </row>
    <row r="64757" spans="3:13" ht="12.75" customHeight="1">
      <c r="C64757"/>
      <c r="M64757"/>
    </row>
    <row r="64758" spans="3:13" ht="12.75" customHeight="1">
      <c r="C64758"/>
      <c r="M64758"/>
    </row>
    <row r="64759" spans="3:13" ht="12.75" customHeight="1">
      <c r="C64759"/>
      <c r="M64759"/>
    </row>
    <row r="64760" spans="3:13" ht="12.75" customHeight="1">
      <c r="C64760"/>
      <c r="M64760"/>
    </row>
    <row r="64761" spans="3:13" ht="12.75" customHeight="1">
      <c r="C64761"/>
      <c r="M64761"/>
    </row>
    <row r="64762" spans="3:13" ht="12.75" customHeight="1">
      <c r="C64762"/>
      <c r="M64762"/>
    </row>
    <row r="64763" spans="3:13" ht="12.75" customHeight="1">
      <c r="C64763"/>
      <c r="M64763"/>
    </row>
    <row r="64764" spans="3:13" ht="12.75" customHeight="1">
      <c r="C64764"/>
      <c r="M64764"/>
    </row>
    <row r="64765" spans="3:13" ht="12.75" customHeight="1">
      <c r="C64765"/>
      <c r="M64765"/>
    </row>
    <row r="64766" spans="3:13" ht="12.75" customHeight="1">
      <c r="C64766"/>
      <c r="M64766"/>
    </row>
    <row r="64767" spans="3:13" ht="12.75" customHeight="1">
      <c r="C64767"/>
      <c r="M64767"/>
    </row>
    <row r="64768" spans="3:13" ht="12.75" customHeight="1">
      <c r="C64768"/>
      <c r="M64768"/>
    </row>
    <row r="64769" spans="3:13" ht="12.75" customHeight="1">
      <c r="C64769"/>
      <c r="M64769"/>
    </row>
    <row r="64770" spans="3:13" ht="12.75" customHeight="1">
      <c r="C64770"/>
      <c r="M64770"/>
    </row>
    <row r="64771" spans="3:13" ht="12.75" customHeight="1">
      <c r="C64771"/>
      <c r="M64771"/>
    </row>
    <row r="64772" spans="3:13" ht="12.75" customHeight="1">
      <c r="C64772"/>
      <c r="M64772"/>
    </row>
    <row r="64773" spans="3:13" ht="12.75" customHeight="1">
      <c r="C64773"/>
      <c r="M64773"/>
    </row>
    <row r="64774" spans="3:13" ht="12.75" customHeight="1">
      <c r="C64774"/>
      <c r="M64774"/>
    </row>
    <row r="64775" spans="3:13" ht="12.75" customHeight="1">
      <c r="C64775"/>
      <c r="M64775"/>
    </row>
    <row r="64776" spans="3:13" ht="12.75" customHeight="1">
      <c r="C64776"/>
      <c r="M64776"/>
    </row>
    <row r="64777" spans="3:13" ht="12.75" customHeight="1">
      <c r="C64777"/>
      <c r="M64777"/>
    </row>
    <row r="64778" spans="3:13" ht="12.75" customHeight="1">
      <c r="C64778"/>
      <c r="M64778"/>
    </row>
    <row r="64779" spans="3:13" ht="12.75" customHeight="1">
      <c r="C64779"/>
      <c r="M64779"/>
    </row>
    <row r="64780" spans="3:13" ht="12.75" customHeight="1">
      <c r="C64780"/>
      <c r="M64780"/>
    </row>
    <row r="64781" spans="3:13" ht="12.75" customHeight="1">
      <c r="C64781"/>
      <c r="M64781"/>
    </row>
    <row r="64782" spans="3:13" ht="12.75" customHeight="1">
      <c r="C64782"/>
      <c r="M64782"/>
    </row>
    <row r="64783" spans="3:13" ht="12.75" customHeight="1">
      <c r="C64783"/>
      <c r="M64783"/>
    </row>
    <row r="64784" spans="3:13" ht="12.75" customHeight="1">
      <c r="C64784"/>
      <c r="M64784"/>
    </row>
    <row r="64785" spans="3:13" ht="12.75" customHeight="1">
      <c r="C64785"/>
      <c r="M64785"/>
    </row>
    <row r="64786" spans="3:13" ht="12.75" customHeight="1">
      <c r="C64786"/>
      <c r="M64786"/>
    </row>
    <row r="64787" spans="3:13" ht="12.75" customHeight="1">
      <c r="C64787"/>
      <c r="M64787"/>
    </row>
    <row r="64788" spans="3:13" ht="12.75" customHeight="1">
      <c r="C64788"/>
      <c r="M64788"/>
    </row>
    <row r="64789" spans="3:13" ht="12.75" customHeight="1">
      <c r="C64789"/>
      <c r="M64789"/>
    </row>
    <row r="64790" spans="3:13" ht="12.75" customHeight="1">
      <c r="C64790"/>
      <c r="M64790"/>
    </row>
    <row r="64791" spans="3:13" ht="12.75" customHeight="1">
      <c r="C64791"/>
      <c r="M64791"/>
    </row>
    <row r="64792" spans="3:13" ht="12.75" customHeight="1">
      <c r="C64792"/>
      <c r="M64792"/>
    </row>
    <row r="64793" spans="3:13" ht="12.75" customHeight="1">
      <c r="C64793"/>
      <c r="M64793"/>
    </row>
    <row r="64794" spans="3:13" ht="12.75" customHeight="1">
      <c r="C64794"/>
      <c r="M64794"/>
    </row>
    <row r="64795" spans="3:13" ht="12.75" customHeight="1">
      <c r="C64795"/>
      <c r="M64795"/>
    </row>
    <row r="64796" spans="3:13" ht="12.75" customHeight="1">
      <c r="C64796"/>
      <c r="M64796"/>
    </row>
    <row r="64797" spans="3:13" ht="12.75" customHeight="1">
      <c r="C64797"/>
      <c r="M64797"/>
    </row>
    <row r="64798" spans="3:13" ht="12.75" customHeight="1">
      <c r="C64798"/>
      <c r="M64798"/>
    </row>
    <row r="64799" spans="3:13" ht="12.75" customHeight="1">
      <c r="C64799"/>
      <c r="M64799"/>
    </row>
    <row r="64800" spans="3:13" ht="12.75" customHeight="1">
      <c r="C64800"/>
      <c r="M64800"/>
    </row>
    <row r="64801" spans="3:13" ht="12.75" customHeight="1">
      <c r="C64801"/>
      <c r="M64801"/>
    </row>
    <row r="64802" spans="3:13" ht="12.75" customHeight="1">
      <c r="C64802"/>
      <c r="M64802"/>
    </row>
    <row r="64803" spans="3:13" ht="12.75" customHeight="1">
      <c r="C64803"/>
      <c r="M64803"/>
    </row>
    <row r="64804" spans="3:13" ht="12.75" customHeight="1">
      <c r="C64804"/>
      <c r="M64804"/>
    </row>
    <row r="64805" spans="3:13" ht="12.75" customHeight="1">
      <c r="C64805"/>
      <c r="M64805"/>
    </row>
    <row r="64806" spans="3:13" ht="12.75" customHeight="1">
      <c r="C64806"/>
      <c r="M64806"/>
    </row>
    <row r="64807" spans="3:13" ht="12.75" customHeight="1">
      <c r="C64807"/>
      <c r="M64807"/>
    </row>
    <row r="64808" spans="3:13" ht="12.75" customHeight="1">
      <c r="C64808"/>
      <c r="M64808"/>
    </row>
    <row r="64809" spans="3:13" ht="12.75" customHeight="1">
      <c r="C64809"/>
      <c r="M64809"/>
    </row>
    <row r="64810" spans="3:13" ht="12.75" customHeight="1">
      <c r="C64810"/>
      <c r="M64810"/>
    </row>
    <row r="64811" spans="3:13" ht="12.75" customHeight="1">
      <c r="C64811"/>
      <c r="M64811"/>
    </row>
    <row r="64812" spans="3:13" ht="12.75" customHeight="1">
      <c r="C64812"/>
      <c r="M64812"/>
    </row>
    <row r="64813" spans="3:13" ht="12.75" customHeight="1">
      <c r="C64813"/>
      <c r="M64813"/>
    </row>
    <row r="64814" spans="3:13" ht="12.75" customHeight="1">
      <c r="C64814"/>
      <c r="M64814"/>
    </row>
    <row r="64815" spans="3:13" ht="12.75" customHeight="1">
      <c r="C64815"/>
      <c r="M64815"/>
    </row>
    <row r="64816" spans="3:13" ht="12.75" customHeight="1">
      <c r="C64816"/>
      <c r="M64816"/>
    </row>
    <row r="64817" spans="3:13" ht="12.75" customHeight="1">
      <c r="C64817"/>
      <c r="M64817"/>
    </row>
    <row r="64818" spans="3:13" ht="12.75" customHeight="1">
      <c r="C64818"/>
      <c r="M64818"/>
    </row>
    <row r="64819" spans="3:13" ht="12.75" customHeight="1">
      <c r="C64819"/>
      <c r="M64819"/>
    </row>
    <row r="64820" spans="3:13" ht="12.75" customHeight="1">
      <c r="C64820"/>
      <c r="M64820"/>
    </row>
    <row r="64821" spans="3:13" ht="12.75" customHeight="1">
      <c r="C64821"/>
      <c r="M64821"/>
    </row>
    <row r="64822" spans="3:13" ht="12.75" customHeight="1">
      <c r="C64822"/>
      <c r="M64822"/>
    </row>
    <row r="64823" spans="3:13" ht="12.75" customHeight="1">
      <c r="C64823"/>
      <c r="M64823"/>
    </row>
    <row r="64824" spans="3:13" ht="12.75" customHeight="1">
      <c r="C64824"/>
      <c r="M64824"/>
    </row>
    <row r="64825" spans="3:13" ht="12.75" customHeight="1">
      <c r="C64825"/>
      <c r="M64825"/>
    </row>
    <row r="64826" spans="3:13" ht="12.75" customHeight="1">
      <c r="C64826"/>
      <c r="M64826"/>
    </row>
    <row r="64827" spans="3:13" ht="12.75" customHeight="1">
      <c r="C64827"/>
      <c r="M64827"/>
    </row>
    <row r="64828" spans="3:13" ht="12.75" customHeight="1">
      <c r="C64828"/>
      <c r="M64828"/>
    </row>
    <row r="64829" spans="3:13" ht="12.75" customHeight="1">
      <c r="C64829"/>
      <c r="M64829"/>
    </row>
    <row r="64830" spans="3:13" ht="12.75" customHeight="1">
      <c r="C64830"/>
      <c r="M64830"/>
    </row>
    <row r="64831" spans="3:13" ht="12.75" customHeight="1">
      <c r="C64831"/>
      <c r="M64831"/>
    </row>
    <row r="64832" spans="3:13" ht="12.75" customHeight="1">
      <c r="C64832"/>
      <c r="M64832"/>
    </row>
    <row r="64833" spans="3:13" ht="12.75" customHeight="1">
      <c r="C64833"/>
      <c r="M64833"/>
    </row>
    <row r="64834" spans="3:13" ht="12.75" customHeight="1">
      <c r="C64834"/>
      <c r="M64834"/>
    </row>
    <row r="64835" spans="3:13" ht="12.75" customHeight="1">
      <c r="C64835"/>
      <c r="M64835"/>
    </row>
    <row r="64836" spans="3:13" ht="12.75" customHeight="1">
      <c r="C64836"/>
      <c r="M64836"/>
    </row>
    <row r="64837" spans="3:13" ht="12.75" customHeight="1">
      <c r="C64837"/>
      <c r="M64837"/>
    </row>
    <row r="64838" spans="3:13" ht="12.75" customHeight="1">
      <c r="C64838"/>
      <c r="M64838"/>
    </row>
    <row r="64839" spans="3:13" ht="12.75" customHeight="1">
      <c r="C64839"/>
      <c r="M64839"/>
    </row>
    <row r="64840" spans="3:13" ht="12.75" customHeight="1">
      <c r="C64840"/>
      <c r="M64840"/>
    </row>
    <row r="64841" spans="3:13" ht="12.75" customHeight="1">
      <c r="C64841"/>
      <c r="M64841"/>
    </row>
    <row r="64842" spans="3:13" ht="12.75" customHeight="1">
      <c r="C64842"/>
      <c r="M64842"/>
    </row>
    <row r="64843" spans="3:13" ht="12.75" customHeight="1">
      <c r="C64843"/>
      <c r="M64843"/>
    </row>
    <row r="64844" spans="3:13" ht="12.75" customHeight="1">
      <c r="C64844"/>
      <c r="M64844"/>
    </row>
    <row r="64845" spans="3:13" ht="12.75" customHeight="1">
      <c r="C64845"/>
      <c r="M64845"/>
    </row>
    <row r="64846" spans="3:13" ht="12.75" customHeight="1">
      <c r="C64846"/>
      <c r="M64846"/>
    </row>
    <row r="64847" spans="3:13" ht="12.75" customHeight="1">
      <c r="C64847"/>
      <c r="M64847"/>
    </row>
    <row r="64848" spans="3:13" ht="12.75" customHeight="1">
      <c r="C64848"/>
      <c r="M64848"/>
    </row>
    <row r="64849" spans="3:13" ht="12.75" customHeight="1">
      <c r="C64849"/>
      <c r="M64849"/>
    </row>
    <row r="64850" spans="3:13" ht="12.75" customHeight="1">
      <c r="C64850"/>
      <c r="M64850"/>
    </row>
    <row r="64851" spans="3:13" ht="12.75" customHeight="1">
      <c r="C64851"/>
      <c r="M64851"/>
    </row>
    <row r="64852" spans="3:13" ht="12.75" customHeight="1">
      <c r="C64852"/>
      <c r="M64852"/>
    </row>
    <row r="64853" spans="3:13" ht="12.75" customHeight="1">
      <c r="C64853"/>
      <c r="M64853"/>
    </row>
    <row r="64854" spans="3:13" ht="12.75" customHeight="1">
      <c r="C64854"/>
      <c r="M64854"/>
    </row>
    <row r="64855" spans="3:13" ht="12.75" customHeight="1">
      <c r="C64855"/>
      <c r="M64855"/>
    </row>
    <row r="64856" spans="3:13" ht="12.75" customHeight="1">
      <c r="C64856"/>
      <c r="M64856"/>
    </row>
    <row r="64857" spans="3:13" ht="12.75" customHeight="1">
      <c r="C64857"/>
      <c r="M64857"/>
    </row>
    <row r="64858" spans="3:13" ht="12.75" customHeight="1">
      <c r="C64858"/>
      <c r="M64858"/>
    </row>
    <row r="64859" spans="3:13" ht="12.75" customHeight="1">
      <c r="C64859"/>
      <c r="M64859"/>
    </row>
    <row r="64860" spans="3:13" ht="12.75" customHeight="1">
      <c r="C64860"/>
      <c r="M64860"/>
    </row>
    <row r="64861" spans="3:13" ht="12.75" customHeight="1">
      <c r="C64861"/>
      <c r="M64861"/>
    </row>
    <row r="64862" spans="3:13" ht="12.75" customHeight="1">
      <c r="C64862"/>
      <c r="M64862"/>
    </row>
    <row r="64863" spans="3:13" ht="12.75" customHeight="1">
      <c r="C64863"/>
      <c r="M64863"/>
    </row>
    <row r="64864" spans="3:13" ht="12.75" customHeight="1">
      <c r="C64864"/>
      <c r="M64864"/>
    </row>
    <row r="64865" spans="3:13" ht="12.75" customHeight="1">
      <c r="C64865"/>
      <c r="M64865"/>
    </row>
    <row r="64866" spans="3:13" ht="12.75" customHeight="1">
      <c r="C64866"/>
      <c r="M64866"/>
    </row>
    <row r="64867" spans="3:13" ht="12.75" customHeight="1">
      <c r="C64867"/>
      <c r="M64867"/>
    </row>
    <row r="64868" spans="3:13" ht="12.75" customHeight="1">
      <c r="C64868"/>
      <c r="M64868"/>
    </row>
    <row r="64869" spans="3:13" ht="12.75" customHeight="1">
      <c r="C64869"/>
      <c r="M64869"/>
    </row>
    <row r="64870" spans="3:13" ht="12.75" customHeight="1">
      <c r="C64870"/>
      <c r="M64870"/>
    </row>
    <row r="64871" spans="3:13" ht="12.75" customHeight="1">
      <c r="C64871"/>
      <c r="M64871"/>
    </row>
    <row r="64872" spans="3:13" ht="12.75" customHeight="1">
      <c r="C64872"/>
      <c r="M64872"/>
    </row>
    <row r="64873" spans="3:13" ht="12.75" customHeight="1">
      <c r="C64873"/>
      <c r="M64873"/>
    </row>
    <row r="64874" spans="3:13" ht="12.75" customHeight="1">
      <c r="C64874"/>
      <c r="M64874"/>
    </row>
    <row r="64875" spans="3:13" ht="12.75" customHeight="1">
      <c r="C64875"/>
      <c r="M64875"/>
    </row>
    <row r="64876" spans="3:13" ht="12.75" customHeight="1">
      <c r="C64876"/>
      <c r="M64876"/>
    </row>
    <row r="64877" spans="3:13" ht="12.75" customHeight="1">
      <c r="C64877"/>
      <c r="M64877"/>
    </row>
    <row r="64878" spans="3:13" ht="12.75" customHeight="1">
      <c r="C64878"/>
      <c r="M64878"/>
    </row>
    <row r="64879" spans="3:13" ht="12.75" customHeight="1">
      <c r="C64879"/>
      <c r="M64879"/>
    </row>
    <row r="64880" spans="3:13" ht="12.75" customHeight="1">
      <c r="C64880"/>
      <c r="M64880"/>
    </row>
    <row r="64881" spans="3:13" ht="12.75" customHeight="1">
      <c r="C64881"/>
      <c r="M64881"/>
    </row>
    <row r="64882" spans="3:13" ht="12.75" customHeight="1">
      <c r="C64882"/>
      <c r="M64882"/>
    </row>
    <row r="64883" spans="3:13" ht="12.75" customHeight="1">
      <c r="C64883"/>
      <c r="M64883"/>
    </row>
    <row r="64884" spans="3:13" ht="12.75" customHeight="1">
      <c r="C64884"/>
      <c r="M64884"/>
    </row>
    <row r="64885" spans="3:13" ht="12.75" customHeight="1">
      <c r="C64885"/>
      <c r="M64885"/>
    </row>
    <row r="64886" spans="3:13" ht="12.75" customHeight="1">
      <c r="C64886"/>
      <c r="M64886"/>
    </row>
    <row r="64887" spans="3:13" ht="12.75" customHeight="1">
      <c r="C64887"/>
      <c r="M64887"/>
    </row>
    <row r="64888" spans="3:13" ht="12.75" customHeight="1">
      <c r="C64888"/>
      <c r="M64888"/>
    </row>
    <row r="64889" spans="3:13" ht="12.75" customHeight="1">
      <c r="C64889"/>
      <c r="M64889"/>
    </row>
    <row r="64890" spans="3:13" ht="12.75" customHeight="1">
      <c r="C64890"/>
      <c r="M64890"/>
    </row>
    <row r="64891" spans="3:13" ht="12.75" customHeight="1">
      <c r="C64891"/>
      <c r="M64891"/>
    </row>
    <row r="64892" spans="3:13" ht="12.75" customHeight="1">
      <c r="C64892"/>
      <c r="M64892"/>
    </row>
    <row r="64893" spans="3:13" ht="12.75" customHeight="1">
      <c r="C64893"/>
      <c r="M64893"/>
    </row>
    <row r="64894" spans="3:13" ht="12.75" customHeight="1">
      <c r="C64894"/>
      <c r="M64894"/>
    </row>
    <row r="64895" spans="3:13" ht="12.75" customHeight="1">
      <c r="C64895"/>
      <c r="M64895"/>
    </row>
    <row r="64896" spans="3:13" ht="12.75" customHeight="1">
      <c r="C64896"/>
      <c r="M64896"/>
    </row>
    <row r="64897" spans="3:13" ht="12.75" customHeight="1">
      <c r="C64897"/>
      <c r="M64897"/>
    </row>
    <row r="64898" spans="3:13" ht="12.75" customHeight="1">
      <c r="C64898"/>
      <c r="M64898"/>
    </row>
    <row r="64899" spans="3:13" ht="12.75" customHeight="1">
      <c r="C64899"/>
      <c r="M64899"/>
    </row>
    <row r="64900" spans="3:13" ht="12.75" customHeight="1">
      <c r="C64900"/>
      <c r="M64900"/>
    </row>
    <row r="64901" spans="3:13" ht="12.75" customHeight="1">
      <c r="C64901"/>
      <c r="M64901"/>
    </row>
    <row r="64902" spans="3:13" ht="12.75" customHeight="1">
      <c r="C64902"/>
      <c r="M64902"/>
    </row>
    <row r="64903" spans="3:13" ht="12.75" customHeight="1">
      <c r="C64903"/>
      <c r="M64903"/>
    </row>
    <row r="64904" spans="3:13" ht="12.75" customHeight="1">
      <c r="C64904"/>
      <c r="M64904"/>
    </row>
    <row r="64905" spans="3:13" ht="12.75" customHeight="1">
      <c r="C64905"/>
      <c r="M64905"/>
    </row>
    <row r="64906" spans="3:13" ht="12.75" customHeight="1">
      <c r="C64906"/>
      <c r="M64906"/>
    </row>
    <row r="64907" spans="3:13" ht="12.75" customHeight="1">
      <c r="C64907"/>
      <c r="M64907"/>
    </row>
    <row r="64908" spans="3:13" ht="12.75" customHeight="1">
      <c r="C64908"/>
      <c r="M64908"/>
    </row>
    <row r="64909" spans="3:13" ht="12.75" customHeight="1">
      <c r="C64909"/>
      <c r="M64909"/>
    </row>
    <row r="64910" spans="3:13" ht="12.75" customHeight="1">
      <c r="C64910"/>
      <c r="M64910"/>
    </row>
    <row r="64911" spans="3:13" ht="12.75" customHeight="1">
      <c r="C64911"/>
      <c r="M64911"/>
    </row>
    <row r="64912" spans="3:13" ht="12.75" customHeight="1">
      <c r="C64912"/>
      <c r="M64912"/>
    </row>
    <row r="64913" spans="3:13" ht="12.75" customHeight="1">
      <c r="C64913"/>
      <c r="M64913"/>
    </row>
    <row r="64914" spans="3:13" ht="12.75" customHeight="1">
      <c r="C64914"/>
      <c r="M64914"/>
    </row>
    <row r="64915" spans="3:13" ht="12.75" customHeight="1">
      <c r="C64915"/>
      <c r="M64915"/>
    </row>
    <row r="64916" spans="3:13" ht="12.75" customHeight="1">
      <c r="C64916"/>
      <c r="M64916"/>
    </row>
    <row r="64917" spans="3:13" ht="12.75" customHeight="1">
      <c r="C64917"/>
      <c r="M64917"/>
    </row>
    <row r="64918" spans="3:13" ht="12.75" customHeight="1">
      <c r="C64918"/>
      <c r="M64918"/>
    </row>
    <row r="64919" spans="3:13" ht="12.75" customHeight="1">
      <c r="C64919"/>
      <c r="M64919"/>
    </row>
    <row r="64920" spans="3:13" ht="12.75" customHeight="1">
      <c r="C64920"/>
      <c r="M64920"/>
    </row>
    <row r="64921" spans="3:13" ht="12.75" customHeight="1">
      <c r="C64921"/>
      <c r="M64921"/>
    </row>
    <row r="64922" spans="3:13" ht="12.75" customHeight="1">
      <c r="C64922"/>
      <c r="M64922"/>
    </row>
    <row r="64923" spans="3:13" ht="12.75" customHeight="1">
      <c r="C64923"/>
      <c r="M64923"/>
    </row>
    <row r="64924" spans="3:13" ht="12.75" customHeight="1">
      <c r="C64924"/>
      <c r="M64924"/>
    </row>
    <row r="64925" spans="3:13" ht="12.75" customHeight="1">
      <c r="C64925"/>
      <c r="M64925"/>
    </row>
    <row r="64926" spans="3:13" ht="12.75" customHeight="1">
      <c r="C64926"/>
      <c r="M64926"/>
    </row>
    <row r="64927" spans="3:13" ht="12.75" customHeight="1">
      <c r="C64927"/>
      <c r="M64927"/>
    </row>
    <row r="64928" spans="3:13" ht="12.75" customHeight="1">
      <c r="C64928"/>
      <c r="M64928"/>
    </row>
    <row r="64929" spans="3:13" ht="12.75" customHeight="1">
      <c r="C64929"/>
      <c r="M64929"/>
    </row>
    <row r="64930" spans="3:13" ht="12.75" customHeight="1">
      <c r="C64930"/>
      <c r="M64930"/>
    </row>
    <row r="64931" spans="3:13" ht="12.75" customHeight="1">
      <c r="C64931"/>
      <c r="M64931"/>
    </row>
    <row r="64932" spans="3:13" ht="12.75" customHeight="1">
      <c r="C64932"/>
      <c r="M64932"/>
    </row>
    <row r="64933" spans="3:13" ht="12.75" customHeight="1">
      <c r="C64933"/>
      <c r="M64933"/>
    </row>
    <row r="64934" spans="3:13" ht="12.75" customHeight="1">
      <c r="C64934"/>
      <c r="M64934"/>
    </row>
    <row r="64935" spans="3:13" ht="12.75" customHeight="1">
      <c r="C64935"/>
      <c r="M64935"/>
    </row>
    <row r="64936" spans="3:13" ht="12.75" customHeight="1">
      <c r="C64936"/>
      <c r="M64936"/>
    </row>
    <row r="64937" spans="3:13" ht="12.75" customHeight="1">
      <c r="C64937"/>
      <c r="M64937"/>
    </row>
    <row r="64938" spans="3:13" ht="12.75" customHeight="1">
      <c r="C64938"/>
      <c r="M64938"/>
    </row>
    <row r="64939" spans="3:13" ht="12.75" customHeight="1">
      <c r="C64939"/>
      <c r="M64939"/>
    </row>
    <row r="64940" spans="3:13" ht="12.75" customHeight="1">
      <c r="C64940"/>
      <c r="M64940"/>
    </row>
    <row r="64941" spans="3:13" ht="12.75" customHeight="1">
      <c r="C64941"/>
      <c r="M64941"/>
    </row>
    <row r="64942" spans="3:13" ht="12.75" customHeight="1">
      <c r="C64942"/>
      <c r="M64942"/>
    </row>
    <row r="64943" spans="3:13" ht="12.75" customHeight="1">
      <c r="C64943"/>
      <c r="M64943"/>
    </row>
    <row r="64944" spans="3:13" ht="12.75" customHeight="1">
      <c r="C64944"/>
      <c r="M64944"/>
    </row>
    <row r="64945" spans="3:13" ht="12.75" customHeight="1">
      <c r="C64945"/>
      <c r="M64945"/>
    </row>
    <row r="64946" spans="3:13" ht="12.75" customHeight="1">
      <c r="C64946"/>
      <c r="M64946"/>
    </row>
    <row r="64947" spans="3:13" ht="12.75" customHeight="1">
      <c r="C64947"/>
      <c r="M64947"/>
    </row>
    <row r="64948" spans="3:13" ht="12.75" customHeight="1">
      <c r="C64948"/>
      <c r="M64948"/>
    </row>
    <row r="64949" spans="3:13" ht="12.75" customHeight="1">
      <c r="C64949"/>
      <c r="M64949"/>
    </row>
    <row r="64950" spans="3:13" ht="12.75" customHeight="1">
      <c r="C64950"/>
      <c r="M64950"/>
    </row>
    <row r="64951" spans="3:13" ht="12.75" customHeight="1">
      <c r="C64951"/>
      <c r="M64951"/>
    </row>
    <row r="64952" spans="3:13" ht="12.75" customHeight="1">
      <c r="C64952"/>
      <c r="M64952"/>
    </row>
    <row r="64953" spans="3:13" ht="12.75" customHeight="1">
      <c r="C64953"/>
      <c r="M64953"/>
    </row>
    <row r="64954" spans="3:13" ht="12.75" customHeight="1">
      <c r="C64954"/>
      <c r="M64954"/>
    </row>
    <row r="64955" spans="3:13" ht="12.75" customHeight="1">
      <c r="C64955"/>
      <c r="M64955"/>
    </row>
    <row r="64956" spans="3:13" ht="12.75" customHeight="1">
      <c r="C64956"/>
      <c r="M64956"/>
    </row>
    <row r="64957" spans="3:13" ht="12.75" customHeight="1">
      <c r="C64957"/>
      <c r="M64957"/>
    </row>
    <row r="64958" spans="3:13" ht="12.75" customHeight="1">
      <c r="C64958"/>
      <c r="M64958"/>
    </row>
    <row r="64959" spans="3:13" ht="12.75" customHeight="1">
      <c r="C64959"/>
      <c r="M64959"/>
    </row>
    <row r="64960" spans="3:13" ht="12.75" customHeight="1">
      <c r="C64960"/>
      <c r="M64960"/>
    </row>
    <row r="64961" spans="3:13" ht="12.75" customHeight="1">
      <c r="C64961"/>
      <c r="M64961"/>
    </row>
    <row r="64962" spans="3:13" ht="12.75" customHeight="1">
      <c r="C64962"/>
      <c r="M64962"/>
    </row>
    <row r="64963" spans="3:13" ht="12.75" customHeight="1">
      <c r="C64963"/>
      <c r="M64963"/>
    </row>
    <row r="64964" spans="3:13" ht="12.75" customHeight="1">
      <c r="C64964"/>
      <c r="M64964"/>
    </row>
    <row r="64965" spans="3:13" ht="12.75" customHeight="1">
      <c r="C64965"/>
      <c r="M64965"/>
    </row>
    <row r="64966" spans="3:13" ht="12.75" customHeight="1">
      <c r="C64966"/>
      <c r="M64966"/>
    </row>
    <row r="64967" spans="3:13" ht="12.75" customHeight="1">
      <c r="C64967"/>
      <c r="M64967"/>
    </row>
    <row r="64968" spans="3:13" ht="12.75" customHeight="1">
      <c r="C64968"/>
      <c r="M64968"/>
    </row>
    <row r="64969" spans="3:13" ht="12.75" customHeight="1">
      <c r="C64969"/>
      <c r="M64969"/>
    </row>
    <row r="64970" spans="3:13" ht="12.75" customHeight="1">
      <c r="C64970"/>
      <c r="M64970"/>
    </row>
    <row r="64971" spans="3:13" ht="12.75" customHeight="1">
      <c r="C64971"/>
      <c r="M64971"/>
    </row>
    <row r="64972" spans="3:13" ht="12.75" customHeight="1">
      <c r="C64972"/>
      <c r="M64972"/>
    </row>
    <row r="64973" spans="3:13" ht="12.75" customHeight="1">
      <c r="C64973"/>
      <c r="M64973"/>
    </row>
    <row r="64974" spans="3:13" ht="12.75" customHeight="1">
      <c r="C64974"/>
      <c r="M64974"/>
    </row>
    <row r="64975" spans="3:13" ht="12.75" customHeight="1">
      <c r="C64975"/>
      <c r="M64975"/>
    </row>
    <row r="64976" spans="3:13" ht="12.75" customHeight="1">
      <c r="C64976"/>
      <c r="M64976"/>
    </row>
    <row r="64977" spans="3:13" ht="12.75" customHeight="1">
      <c r="C64977"/>
      <c r="M64977"/>
    </row>
    <row r="64978" spans="3:13" ht="12.75" customHeight="1">
      <c r="C64978"/>
      <c r="M64978"/>
    </row>
    <row r="64979" spans="3:13" ht="12.75" customHeight="1">
      <c r="C64979"/>
      <c r="M64979"/>
    </row>
    <row r="64980" spans="3:13" ht="12.75" customHeight="1">
      <c r="C64980"/>
      <c r="M64980"/>
    </row>
    <row r="64981" spans="3:13" ht="12.75" customHeight="1">
      <c r="C64981"/>
      <c r="M64981"/>
    </row>
    <row r="64982" spans="3:13" ht="12.75" customHeight="1">
      <c r="C64982"/>
      <c r="M64982"/>
    </row>
    <row r="64983" spans="3:13" ht="12.75" customHeight="1">
      <c r="C64983"/>
      <c r="M64983"/>
    </row>
    <row r="64984" spans="3:13" ht="12.75" customHeight="1">
      <c r="C64984"/>
      <c r="M64984"/>
    </row>
    <row r="64985" spans="3:13" ht="12.75" customHeight="1">
      <c r="C64985"/>
      <c r="M64985"/>
    </row>
    <row r="64986" spans="3:13" ht="12.75" customHeight="1">
      <c r="C64986"/>
      <c r="M64986"/>
    </row>
    <row r="64987" spans="3:13" ht="12.75" customHeight="1">
      <c r="C64987"/>
      <c r="M64987"/>
    </row>
    <row r="64988" spans="3:13" ht="12.75" customHeight="1">
      <c r="C64988"/>
      <c r="M64988"/>
    </row>
    <row r="64989" spans="3:13" ht="12.75" customHeight="1">
      <c r="C64989"/>
      <c r="M64989"/>
    </row>
    <row r="64990" spans="3:13" ht="12.75" customHeight="1">
      <c r="C64990"/>
      <c r="M64990"/>
    </row>
    <row r="64991" spans="3:13" ht="12.75" customHeight="1">
      <c r="C64991"/>
      <c r="M64991"/>
    </row>
    <row r="64992" spans="3:13" ht="12.75" customHeight="1">
      <c r="C64992"/>
      <c r="M64992"/>
    </row>
    <row r="64993" spans="3:13" ht="12.75" customHeight="1">
      <c r="C64993"/>
      <c r="M64993"/>
    </row>
    <row r="64994" spans="3:13" ht="12.75" customHeight="1">
      <c r="C64994"/>
      <c r="M64994"/>
    </row>
    <row r="64995" spans="3:13" ht="12.75" customHeight="1">
      <c r="C64995"/>
      <c r="M64995"/>
    </row>
    <row r="64996" spans="3:13" ht="12.75" customHeight="1">
      <c r="C64996"/>
      <c r="M64996"/>
    </row>
    <row r="64997" spans="3:13" ht="12.75" customHeight="1">
      <c r="C64997"/>
      <c r="M64997"/>
    </row>
    <row r="64998" spans="3:13" ht="12.75" customHeight="1">
      <c r="C64998"/>
      <c r="M64998"/>
    </row>
    <row r="64999" spans="3:13" ht="12.75" customHeight="1">
      <c r="C64999"/>
      <c r="M64999"/>
    </row>
    <row r="65000" spans="3:13" ht="12.75" customHeight="1">
      <c r="C65000"/>
      <c r="M65000"/>
    </row>
    <row r="65001" spans="3:13" ht="12.75" customHeight="1">
      <c r="C65001"/>
      <c r="M65001"/>
    </row>
    <row r="65002" spans="3:13" ht="12.75" customHeight="1">
      <c r="C65002"/>
      <c r="M65002"/>
    </row>
    <row r="65003" spans="3:13" ht="12.75" customHeight="1">
      <c r="C65003"/>
      <c r="M65003"/>
    </row>
    <row r="65004" spans="3:13" ht="12.75" customHeight="1">
      <c r="C65004"/>
      <c r="M65004"/>
    </row>
    <row r="65005" spans="3:13" ht="12.75" customHeight="1">
      <c r="C65005"/>
      <c r="M65005"/>
    </row>
    <row r="65006" spans="3:13" ht="12.75" customHeight="1">
      <c r="C65006"/>
      <c r="M65006"/>
    </row>
    <row r="65007" spans="3:13" ht="12.75" customHeight="1">
      <c r="C65007"/>
      <c r="M65007"/>
    </row>
    <row r="65008" spans="3:13" ht="12.75" customHeight="1">
      <c r="C65008"/>
      <c r="M65008"/>
    </row>
    <row r="65009" spans="3:13" ht="12.75" customHeight="1">
      <c r="C65009"/>
      <c r="M65009"/>
    </row>
    <row r="65010" spans="3:13" ht="12.75" customHeight="1">
      <c r="C65010"/>
      <c r="M65010"/>
    </row>
    <row r="65011" spans="3:13" ht="12.75" customHeight="1">
      <c r="C65011"/>
      <c r="M65011"/>
    </row>
    <row r="65012" spans="3:13" ht="12.75" customHeight="1">
      <c r="C65012"/>
      <c r="M65012"/>
    </row>
    <row r="65013" spans="3:13" ht="12.75" customHeight="1">
      <c r="C65013"/>
      <c r="M65013"/>
    </row>
    <row r="65014" spans="3:13" ht="12.75" customHeight="1">
      <c r="C65014"/>
      <c r="M65014"/>
    </row>
    <row r="65015" spans="3:13" ht="12.75" customHeight="1">
      <c r="C65015"/>
      <c r="M65015"/>
    </row>
    <row r="65016" spans="3:13" ht="12.75" customHeight="1">
      <c r="C65016"/>
      <c r="M65016"/>
    </row>
    <row r="65017" spans="3:13" ht="12.75" customHeight="1">
      <c r="C65017"/>
      <c r="M65017"/>
    </row>
    <row r="65018" spans="3:13" ht="12.75" customHeight="1">
      <c r="C65018"/>
      <c r="M65018"/>
    </row>
    <row r="65019" spans="3:13" ht="12.75" customHeight="1">
      <c r="C65019"/>
      <c r="M65019"/>
    </row>
    <row r="65020" spans="3:13" ht="12.75" customHeight="1">
      <c r="C65020"/>
      <c r="M65020"/>
    </row>
    <row r="65021" spans="3:13" ht="12.75" customHeight="1">
      <c r="C65021"/>
      <c r="M65021"/>
    </row>
    <row r="65022" spans="3:13" ht="12.75" customHeight="1">
      <c r="C65022"/>
      <c r="M65022"/>
    </row>
    <row r="65023" spans="3:13" ht="12.75" customHeight="1">
      <c r="C65023"/>
      <c r="M65023"/>
    </row>
    <row r="65024" spans="3:13" ht="12.75" customHeight="1">
      <c r="C65024"/>
      <c r="M65024"/>
    </row>
    <row r="65025" spans="3:13" ht="12.75" customHeight="1">
      <c r="C65025"/>
      <c r="M65025"/>
    </row>
    <row r="65026" spans="3:13" ht="12.75" customHeight="1">
      <c r="C65026"/>
      <c r="M65026"/>
    </row>
    <row r="65027" spans="3:13" ht="12.75" customHeight="1">
      <c r="C65027"/>
      <c r="M65027"/>
    </row>
    <row r="65028" spans="3:13" ht="12.75" customHeight="1">
      <c r="C65028"/>
      <c r="M65028"/>
    </row>
    <row r="65029" spans="3:13" ht="12.75" customHeight="1">
      <c r="C65029"/>
      <c r="M65029"/>
    </row>
    <row r="65030" spans="3:13" ht="12.75" customHeight="1">
      <c r="C65030"/>
      <c r="M65030"/>
    </row>
    <row r="65031" spans="3:13" ht="12.75" customHeight="1">
      <c r="C65031"/>
      <c r="M65031"/>
    </row>
    <row r="65032" spans="3:13" ht="12.75" customHeight="1">
      <c r="C65032"/>
      <c r="M65032"/>
    </row>
    <row r="65033" spans="3:13" ht="12.75" customHeight="1">
      <c r="C65033"/>
      <c r="M65033"/>
    </row>
    <row r="65034" spans="3:13" ht="12.75" customHeight="1">
      <c r="C65034"/>
      <c r="M65034"/>
    </row>
    <row r="65035" spans="3:13" ht="12.75" customHeight="1">
      <c r="C65035"/>
      <c r="M65035"/>
    </row>
    <row r="65036" spans="3:13" ht="12.75" customHeight="1">
      <c r="C65036"/>
      <c r="M65036"/>
    </row>
    <row r="65037" spans="3:13" ht="12.75" customHeight="1">
      <c r="C65037"/>
      <c r="M65037"/>
    </row>
    <row r="65038" spans="3:13" ht="12.75" customHeight="1">
      <c r="C65038"/>
      <c r="M65038"/>
    </row>
    <row r="65039" spans="3:13" ht="12.75" customHeight="1">
      <c r="C65039"/>
      <c r="M65039"/>
    </row>
    <row r="65040" spans="3:13" ht="12.75" customHeight="1">
      <c r="C65040"/>
      <c r="M65040"/>
    </row>
    <row r="65041" spans="3:13" ht="12.75" customHeight="1">
      <c r="C65041"/>
      <c r="M65041"/>
    </row>
    <row r="65042" spans="3:13" ht="12.75" customHeight="1">
      <c r="C65042"/>
      <c r="M65042"/>
    </row>
    <row r="65043" spans="3:13" ht="12.75" customHeight="1">
      <c r="C65043"/>
      <c r="M65043"/>
    </row>
    <row r="65044" spans="3:13" ht="12.75" customHeight="1">
      <c r="C65044"/>
      <c r="M65044"/>
    </row>
    <row r="65045" spans="3:13" ht="12.75" customHeight="1">
      <c r="C65045"/>
      <c r="M65045"/>
    </row>
    <row r="65046" spans="3:13" ht="12.75" customHeight="1">
      <c r="C65046"/>
      <c r="M65046"/>
    </row>
    <row r="65047" spans="3:13" ht="12.75" customHeight="1">
      <c r="C65047"/>
      <c r="M65047"/>
    </row>
    <row r="65048" spans="3:13" ht="12.75" customHeight="1">
      <c r="C65048"/>
      <c r="M65048"/>
    </row>
    <row r="65049" spans="3:13" ht="12.75" customHeight="1">
      <c r="C65049"/>
      <c r="M65049"/>
    </row>
    <row r="65050" spans="3:13" ht="12.75" customHeight="1">
      <c r="C65050"/>
      <c r="M65050"/>
    </row>
    <row r="65051" spans="3:13" ht="12.75" customHeight="1">
      <c r="C65051"/>
      <c r="M65051"/>
    </row>
    <row r="65052" spans="3:13" ht="12.75" customHeight="1">
      <c r="C65052"/>
      <c r="M65052"/>
    </row>
    <row r="65053" spans="3:13" ht="12.75" customHeight="1">
      <c r="C65053"/>
      <c r="M65053"/>
    </row>
    <row r="65054" spans="3:13" ht="12.75" customHeight="1">
      <c r="C65054"/>
      <c r="M65054"/>
    </row>
    <row r="65055" spans="3:13" ht="12.75" customHeight="1">
      <c r="C65055"/>
      <c r="M65055"/>
    </row>
    <row r="65056" spans="3:13" ht="12.75" customHeight="1">
      <c r="C65056"/>
      <c r="M65056"/>
    </row>
    <row r="65057" spans="3:13" ht="12.75" customHeight="1">
      <c r="C65057"/>
      <c r="M65057"/>
    </row>
    <row r="65058" spans="3:13" ht="12.75" customHeight="1">
      <c r="C65058"/>
      <c r="M65058"/>
    </row>
    <row r="65059" spans="3:13" ht="12.75" customHeight="1">
      <c r="C65059"/>
      <c r="M65059"/>
    </row>
    <row r="65060" spans="3:13" ht="12.75" customHeight="1">
      <c r="C65060"/>
      <c r="M65060"/>
    </row>
    <row r="65061" spans="3:13" ht="12.75" customHeight="1">
      <c r="C65061"/>
      <c r="M65061"/>
    </row>
    <row r="65062" spans="3:13" ht="12.75" customHeight="1">
      <c r="C65062"/>
      <c r="M65062"/>
    </row>
    <row r="65063" spans="3:13" ht="12.75" customHeight="1">
      <c r="C65063"/>
      <c r="M65063"/>
    </row>
    <row r="65064" spans="3:13" ht="12.75" customHeight="1">
      <c r="C65064"/>
      <c r="M65064"/>
    </row>
    <row r="65065" spans="3:13" ht="12.75" customHeight="1">
      <c r="C65065"/>
      <c r="M65065"/>
    </row>
    <row r="65066" spans="3:13" ht="12.75" customHeight="1">
      <c r="C65066"/>
      <c r="M65066"/>
    </row>
    <row r="65067" spans="3:13" ht="12.75" customHeight="1">
      <c r="C65067"/>
      <c r="M65067"/>
    </row>
    <row r="65068" spans="3:13" ht="12.75" customHeight="1">
      <c r="C65068"/>
      <c r="M65068"/>
    </row>
    <row r="65069" spans="3:13" ht="12.75" customHeight="1">
      <c r="C65069"/>
      <c r="M65069"/>
    </row>
    <row r="65070" spans="3:13" ht="12.75" customHeight="1">
      <c r="C65070"/>
      <c r="M65070"/>
    </row>
    <row r="65071" spans="3:13" ht="12.75" customHeight="1">
      <c r="C65071"/>
      <c r="M65071"/>
    </row>
    <row r="65072" spans="3:13" ht="12.75" customHeight="1">
      <c r="C65072"/>
      <c r="M65072"/>
    </row>
    <row r="65073" spans="3:13" ht="12.75" customHeight="1">
      <c r="C65073"/>
      <c r="M65073"/>
    </row>
    <row r="65074" spans="3:13" ht="12.75" customHeight="1">
      <c r="C65074"/>
      <c r="M65074"/>
    </row>
    <row r="65075" spans="3:13" ht="12.75" customHeight="1">
      <c r="C65075"/>
      <c r="M65075"/>
    </row>
    <row r="65076" spans="3:13" ht="12.75" customHeight="1">
      <c r="C65076"/>
      <c r="M65076"/>
    </row>
    <row r="65077" spans="3:13" ht="12.75" customHeight="1">
      <c r="C65077"/>
      <c r="M65077"/>
    </row>
    <row r="65078" spans="3:13" ht="12.75" customHeight="1">
      <c r="C65078"/>
      <c r="M65078"/>
    </row>
    <row r="65079" spans="3:13" ht="12.75" customHeight="1">
      <c r="C65079"/>
      <c r="M65079"/>
    </row>
    <row r="65080" spans="3:13" ht="12.75" customHeight="1">
      <c r="C65080"/>
      <c r="M65080"/>
    </row>
    <row r="65081" spans="3:13" ht="12.75" customHeight="1">
      <c r="C65081"/>
      <c r="M65081"/>
    </row>
    <row r="65082" spans="3:13" ht="12.75" customHeight="1">
      <c r="C65082"/>
      <c r="M65082"/>
    </row>
    <row r="65083" spans="3:13" ht="12.75" customHeight="1">
      <c r="C65083"/>
      <c r="M65083"/>
    </row>
    <row r="65084" spans="3:13" ht="12.75" customHeight="1">
      <c r="C65084"/>
      <c r="M65084"/>
    </row>
    <row r="65085" spans="3:13" ht="12.75" customHeight="1">
      <c r="C65085"/>
      <c r="M65085"/>
    </row>
    <row r="65086" spans="3:13" ht="12.75" customHeight="1">
      <c r="C65086"/>
      <c r="M65086"/>
    </row>
    <row r="65087" spans="3:13" ht="12.75" customHeight="1">
      <c r="C65087"/>
      <c r="M65087"/>
    </row>
    <row r="65088" spans="3:13" ht="12.75" customHeight="1">
      <c r="C65088"/>
      <c r="M65088"/>
    </row>
    <row r="65089" spans="3:13" ht="12.75" customHeight="1">
      <c r="C65089"/>
      <c r="M65089"/>
    </row>
    <row r="65090" spans="3:13" ht="12.75" customHeight="1">
      <c r="C65090"/>
      <c r="M65090"/>
    </row>
    <row r="65091" spans="3:13" ht="12.75" customHeight="1">
      <c r="C65091"/>
      <c r="M65091"/>
    </row>
    <row r="65092" spans="3:13" ht="12.75" customHeight="1">
      <c r="C65092"/>
      <c r="M65092"/>
    </row>
    <row r="65093" spans="3:13" ht="12.75" customHeight="1">
      <c r="C65093"/>
      <c r="M65093"/>
    </row>
    <row r="65094" spans="3:13" ht="12.75" customHeight="1">
      <c r="C65094"/>
      <c r="M65094"/>
    </row>
    <row r="65095" spans="3:13" ht="12.75" customHeight="1">
      <c r="C65095"/>
      <c r="M65095"/>
    </row>
    <row r="65096" spans="3:13" ht="12.75" customHeight="1">
      <c r="C65096"/>
      <c r="M65096"/>
    </row>
    <row r="65097" spans="3:13" ht="12.75" customHeight="1">
      <c r="C65097"/>
      <c r="M65097"/>
    </row>
    <row r="65098" spans="3:13" ht="12.75" customHeight="1">
      <c r="C65098"/>
      <c r="M65098"/>
    </row>
    <row r="65099" spans="3:13" ht="12.75" customHeight="1">
      <c r="C65099"/>
      <c r="M65099"/>
    </row>
    <row r="65100" spans="3:13" ht="12.75" customHeight="1">
      <c r="C65100"/>
      <c r="M65100"/>
    </row>
    <row r="65101" spans="3:13" ht="12.75" customHeight="1">
      <c r="C65101"/>
      <c r="M65101"/>
    </row>
    <row r="65102" spans="3:13" ht="12.75" customHeight="1">
      <c r="C65102"/>
      <c r="M65102"/>
    </row>
    <row r="65103" spans="3:13" ht="12.75" customHeight="1">
      <c r="C65103"/>
      <c r="M65103"/>
    </row>
    <row r="65104" spans="3:13" ht="12.75" customHeight="1">
      <c r="C65104"/>
      <c r="M65104"/>
    </row>
    <row r="65105" spans="3:13" ht="12.75" customHeight="1">
      <c r="C65105"/>
      <c r="M65105"/>
    </row>
    <row r="65106" spans="3:13" ht="12.75" customHeight="1">
      <c r="C65106"/>
      <c r="M65106"/>
    </row>
    <row r="65107" spans="3:13" ht="12.75" customHeight="1">
      <c r="C65107"/>
      <c r="M65107"/>
    </row>
    <row r="65108" spans="3:13" ht="12.75" customHeight="1">
      <c r="C65108"/>
      <c r="M65108"/>
    </row>
    <row r="65109" spans="3:13" ht="12.75" customHeight="1">
      <c r="C65109"/>
      <c r="M65109"/>
    </row>
    <row r="65110" spans="3:13" ht="12.75" customHeight="1">
      <c r="C65110"/>
      <c r="M65110"/>
    </row>
    <row r="65111" spans="3:13" ht="12.75" customHeight="1">
      <c r="C65111"/>
      <c r="M65111"/>
    </row>
    <row r="65112" spans="3:13" ht="12.75" customHeight="1">
      <c r="C65112"/>
      <c r="M65112"/>
    </row>
    <row r="65113" spans="3:13" ht="12.75" customHeight="1">
      <c r="C65113"/>
      <c r="M65113"/>
    </row>
    <row r="65114" spans="3:13" ht="12.75" customHeight="1">
      <c r="C65114"/>
      <c r="M65114"/>
    </row>
    <row r="65115" spans="3:13" ht="12.75" customHeight="1">
      <c r="C65115"/>
      <c r="M65115"/>
    </row>
    <row r="65116" spans="3:13" ht="12.75" customHeight="1">
      <c r="C65116"/>
      <c r="M65116"/>
    </row>
    <row r="65117" spans="3:13" ht="12.75" customHeight="1">
      <c r="C65117"/>
      <c r="M65117"/>
    </row>
    <row r="65118" spans="3:13" ht="12.75" customHeight="1">
      <c r="C65118"/>
      <c r="M65118"/>
    </row>
    <row r="65119" spans="3:13" ht="12.75" customHeight="1">
      <c r="C65119"/>
      <c r="M65119"/>
    </row>
    <row r="65120" spans="3:13" ht="12.75" customHeight="1">
      <c r="C65120"/>
      <c r="M65120"/>
    </row>
    <row r="65121" spans="3:13" ht="12.75" customHeight="1">
      <c r="C65121"/>
      <c r="M65121"/>
    </row>
    <row r="65122" spans="3:13" ht="12.75" customHeight="1">
      <c r="C65122"/>
      <c r="M65122"/>
    </row>
    <row r="65123" spans="3:13" ht="12.75" customHeight="1">
      <c r="C65123"/>
      <c r="M65123"/>
    </row>
    <row r="65124" spans="3:13" ht="12.75" customHeight="1">
      <c r="C65124"/>
      <c r="M65124"/>
    </row>
    <row r="65125" spans="3:13" ht="12.75" customHeight="1">
      <c r="C65125"/>
      <c r="M65125"/>
    </row>
    <row r="65126" spans="3:13" ht="12.75" customHeight="1">
      <c r="C65126"/>
      <c r="M65126"/>
    </row>
    <row r="65127" spans="3:13" ht="12.75" customHeight="1">
      <c r="C65127"/>
      <c r="M65127"/>
    </row>
    <row r="65128" spans="3:13" ht="12.75" customHeight="1">
      <c r="C65128"/>
      <c r="M65128"/>
    </row>
    <row r="65129" spans="3:13" ht="12.75" customHeight="1">
      <c r="C65129"/>
      <c r="M65129"/>
    </row>
    <row r="65130" spans="3:13" ht="12.75" customHeight="1">
      <c r="C65130"/>
      <c r="M65130"/>
    </row>
    <row r="65131" spans="3:13" ht="12.75" customHeight="1">
      <c r="C65131"/>
      <c r="M65131"/>
    </row>
    <row r="65132" spans="3:13" ht="12.75" customHeight="1">
      <c r="C65132"/>
      <c r="M65132"/>
    </row>
    <row r="65133" spans="3:13" ht="12.75" customHeight="1">
      <c r="C65133"/>
      <c r="M65133"/>
    </row>
    <row r="65134" spans="3:13" ht="12.75" customHeight="1">
      <c r="C65134"/>
      <c r="M65134"/>
    </row>
    <row r="65135" spans="3:13" ht="12.75" customHeight="1">
      <c r="C65135"/>
      <c r="M65135"/>
    </row>
    <row r="65136" spans="3:13" ht="12.75" customHeight="1">
      <c r="C65136"/>
      <c r="M65136"/>
    </row>
    <row r="65137" spans="3:13" ht="12.75" customHeight="1">
      <c r="C65137"/>
      <c r="M65137"/>
    </row>
    <row r="65138" spans="3:13" ht="12.75" customHeight="1">
      <c r="C65138"/>
      <c r="M65138"/>
    </row>
    <row r="65139" spans="3:13" ht="12.75" customHeight="1">
      <c r="C65139"/>
      <c r="M65139"/>
    </row>
    <row r="65140" spans="3:13" ht="12.75" customHeight="1">
      <c r="C65140"/>
      <c r="M65140"/>
    </row>
    <row r="65141" spans="3:13" ht="12.75" customHeight="1">
      <c r="C65141"/>
      <c r="M65141"/>
    </row>
    <row r="65142" spans="3:13" ht="12.75" customHeight="1">
      <c r="C65142"/>
      <c r="M65142"/>
    </row>
    <row r="65143" spans="3:13" ht="12.75" customHeight="1">
      <c r="C65143"/>
      <c r="M65143"/>
    </row>
    <row r="65144" spans="3:13" ht="12.75" customHeight="1">
      <c r="C65144"/>
      <c r="M65144"/>
    </row>
    <row r="65145" spans="3:13" ht="12.75" customHeight="1">
      <c r="C65145"/>
      <c r="M65145"/>
    </row>
    <row r="65146" spans="3:13" ht="12.75" customHeight="1">
      <c r="C65146"/>
      <c r="M65146"/>
    </row>
    <row r="65147" spans="3:13" ht="12.75" customHeight="1">
      <c r="C65147"/>
      <c r="M65147"/>
    </row>
    <row r="65148" spans="3:13" ht="12.75" customHeight="1">
      <c r="C65148"/>
      <c r="M65148"/>
    </row>
    <row r="65149" spans="3:13" ht="12.75" customHeight="1">
      <c r="C65149"/>
      <c r="M65149"/>
    </row>
    <row r="65150" spans="3:13" ht="12.75" customHeight="1">
      <c r="C65150"/>
      <c r="M65150"/>
    </row>
    <row r="65151" spans="3:13" ht="12.75" customHeight="1">
      <c r="C65151"/>
      <c r="M65151"/>
    </row>
    <row r="65152" spans="3:13" ht="12.75" customHeight="1">
      <c r="C65152"/>
      <c r="M65152"/>
    </row>
    <row r="65153" spans="3:13" ht="12.75" customHeight="1">
      <c r="C65153"/>
      <c r="M65153"/>
    </row>
    <row r="65154" spans="3:13" ht="12.75" customHeight="1">
      <c r="C65154"/>
      <c r="M65154"/>
    </row>
    <row r="65155" spans="3:13" ht="12.75" customHeight="1">
      <c r="C65155"/>
      <c r="M65155"/>
    </row>
    <row r="65156" spans="3:13" ht="12.75" customHeight="1">
      <c r="C65156"/>
      <c r="M65156"/>
    </row>
    <row r="65157" spans="3:13" ht="12.75" customHeight="1">
      <c r="C65157"/>
      <c r="M65157"/>
    </row>
    <row r="65158" spans="3:13" ht="12.75" customHeight="1">
      <c r="C65158"/>
      <c r="M65158"/>
    </row>
    <row r="65159" spans="3:13" ht="12.75" customHeight="1">
      <c r="C65159"/>
      <c r="M65159"/>
    </row>
    <row r="65160" spans="3:13" ht="12.75" customHeight="1">
      <c r="C65160"/>
      <c r="M65160"/>
    </row>
    <row r="65161" spans="3:13" ht="12.75" customHeight="1">
      <c r="C65161"/>
      <c r="M65161"/>
    </row>
    <row r="65162" spans="3:13" ht="12.75" customHeight="1">
      <c r="C65162"/>
      <c r="M65162"/>
    </row>
    <row r="65163" spans="3:13" ht="12.75" customHeight="1">
      <c r="C65163"/>
      <c r="M65163"/>
    </row>
    <row r="65164" spans="3:13" ht="12.75" customHeight="1">
      <c r="C65164"/>
      <c r="M65164"/>
    </row>
    <row r="65165" spans="3:13" ht="12.75" customHeight="1">
      <c r="C65165"/>
      <c r="M65165"/>
    </row>
    <row r="65166" spans="3:13" ht="12.75" customHeight="1">
      <c r="C65166"/>
      <c r="M65166"/>
    </row>
    <row r="65167" spans="3:13" ht="12.75" customHeight="1">
      <c r="C65167"/>
      <c r="M65167"/>
    </row>
    <row r="65168" spans="3:13" ht="12.75" customHeight="1">
      <c r="C65168"/>
      <c r="M65168"/>
    </row>
    <row r="65169" spans="3:13" ht="12.75" customHeight="1">
      <c r="C65169"/>
      <c r="M65169"/>
    </row>
    <row r="65170" spans="3:13" ht="12.75" customHeight="1">
      <c r="C65170"/>
      <c r="M65170"/>
    </row>
    <row r="65171" spans="3:13" ht="12.75" customHeight="1">
      <c r="C65171"/>
      <c r="M65171"/>
    </row>
    <row r="65172" spans="3:13" ht="12.75" customHeight="1">
      <c r="C65172"/>
      <c r="M65172"/>
    </row>
    <row r="65173" spans="3:13" ht="12.75" customHeight="1">
      <c r="C65173"/>
      <c r="M65173"/>
    </row>
    <row r="65174" spans="3:13" ht="12.75" customHeight="1">
      <c r="C65174"/>
      <c r="M65174"/>
    </row>
    <row r="65175" spans="3:13" ht="12.75" customHeight="1">
      <c r="C65175"/>
      <c r="M65175"/>
    </row>
    <row r="65176" spans="3:13" ht="12.75" customHeight="1">
      <c r="C65176"/>
      <c r="M65176"/>
    </row>
    <row r="65177" spans="3:13" ht="12.75" customHeight="1">
      <c r="C65177"/>
      <c r="M65177"/>
    </row>
    <row r="65178" spans="3:13" ht="12.75" customHeight="1">
      <c r="C65178"/>
      <c r="M65178"/>
    </row>
    <row r="65179" spans="3:13" ht="12.75" customHeight="1">
      <c r="C65179"/>
      <c r="M65179"/>
    </row>
    <row r="65180" spans="3:13" ht="12.75" customHeight="1">
      <c r="C65180"/>
      <c r="M65180"/>
    </row>
    <row r="65181" spans="3:13" ht="12.75" customHeight="1">
      <c r="C65181"/>
      <c r="M65181"/>
    </row>
    <row r="65182" spans="3:13" ht="12.75" customHeight="1">
      <c r="C65182"/>
      <c r="M65182"/>
    </row>
    <row r="65183" spans="3:13" ht="12.75" customHeight="1">
      <c r="C65183"/>
      <c r="M65183"/>
    </row>
    <row r="65184" spans="3:13" ht="12.75" customHeight="1">
      <c r="C65184"/>
      <c r="M65184"/>
    </row>
    <row r="65185" spans="3:13" ht="12.75" customHeight="1">
      <c r="C65185"/>
      <c r="M65185"/>
    </row>
    <row r="65186" spans="3:13" ht="12.75" customHeight="1">
      <c r="C65186"/>
      <c r="M65186"/>
    </row>
    <row r="65187" spans="3:13" ht="12.75" customHeight="1">
      <c r="C65187"/>
      <c r="M65187"/>
    </row>
    <row r="65188" spans="3:13" ht="12.75" customHeight="1">
      <c r="C65188"/>
      <c r="M65188"/>
    </row>
    <row r="65189" spans="3:13" ht="12.75" customHeight="1">
      <c r="C65189"/>
      <c r="M65189"/>
    </row>
    <row r="65190" spans="3:13" ht="12.75" customHeight="1">
      <c r="C65190"/>
      <c r="M65190"/>
    </row>
    <row r="65191" spans="3:13" ht="12.75" customHeight="1">
      <c r="C65191"/>
      <c r="M65191"/>
    </row>
    <row r="65192" spans="3:13" ht="12.75" customHeight="1">
      <c r="C65192"/>
      <c r="M65192"/>
    </row>
    <row r="65193" spans="3:13" ht="12.75" customHeight="1">
      <c r="C65193"/>
      <c r="M65193"/>
    </row>
    <row r="65194" spans="3:13" ht="12.75" customHeight="1">
      <c r="C65194"/>
      <c r="M65194"/>
    </row>
    <row r="65195" spans="3:13" ht="12.75" customHeight="1">
      <c r="C65195"/>
      <c r="M65195"/>
    </row>
    <row r="65196" spans="3:13" ht="12.75" customHeight="1">
      <c r="C65196"/>
      <c r="M65196"/>
    </row>
    <row r="65197" spans="3:13" ht="12.75" customHeight="1">
      <c r="C65197"/>
      <c r="M65197"/>
    </row>
    <row r="65198" spans="3:13" ht="12.75" customHeight="1">
      <c r="C65198"/>
      <c r="M65198"/>
    </row>
    <row r="65199" spans="3:13" ht="12.75" customHeight="1">
      <c r="C65199"/>
      <c r="M65199"/>
    </row>
    <row r="65200" spans="3:13" ht="12.75" customHeight="1">
      <c r="C65200"/>
      <c r="M65200"/>
    </row>
    <row r="65201" spans="3:13" ht="12.75" customHeight="1">
      <c r="C65201"/>
      <c r="M65201"/>
    </row>
    <row r="65202" spans="3:13" ht="12.75" customHeight="1">
      <c r="C65202"/>
      <c r="M65202"/>
    </row>
    <row r="65203" spans="3:13" ht="12.75" customHeight="1">
      <c r="C65203"/>
      <c r="M65203"/>
    </row>
    <row r="65204" spans="3:13" ht="12.75" customHeight="1">
      <c r="C65204"/>
      <c r="M65204"/>
    </row>
    <row r="65205" spans="3:13" ht="12.75" customHeight="1">
      <c r="C65205"/>
      <c r="M65205"/>
    </row>
    <row r="65206" spans="3:13" ht="12.75" customHeight="1">
      <c r="C65206"/>
      <c r="M65206"/>
    </row>
    <row r="65207" spans="3:13" ht="12.75" customHeight="1">
      <c r="C65207"/>
      <c r="M65207"/>
    </row>
    <row r="65208" spans="3:13" ht="12.75" customHeight="1">
      <c r="C65208"/>
      <c r="M65208"/>
    </row>
    <row r="65209" spans="3:13" ht="12.75" customHeight="1">
      <c r="C65209"/>
      <c r="M65209"/>
    </row>
    <row r="65210" spans="3:13" ht="12.75" customHeight="1">
      <c r="C65210"/>
      <c r="M65210"/>
    </row>
    <row r="65211" spans="3:13" ht="12.75" customHeight="1">
      <c r="C65211"/>
      <c r="M65211"/>
    </row>
    <row r="65212" spans="3:13" ht="12.75" customHeight="1">
      <c r="C65212"/>
      <c r="M65212"/>
    </row>
    <row r="65213" spans="3:13" ht="12.75" customHeight="1">
      <c r="C65213"/>
      <c r="M65213"/>
    </row>
    <row r="65214" spans="3:13" ht="12.75" customHeight="1">
      <c r="C65214"/>
      <c r="M65214"/>
    </row>
    <row r="65215" spans="3:13" ht="12.75" customHeight="1">
      <c r="C65215"/>
      <c r="M65215"/>
    </row>
    <row r="65216" spans="3:13" ht="12.75" customHeight="1">
      <c r="C65216"/>
      <c r="M65216"/>
    </row>
    <row r="65217" spans="3:13" ht="12.75" customHeight="1">
      <c r="C65217"/>
      <c r="M65217"/>
    </row>
    <row r="65218" spans="3:13" ht="12.75" customHeight="1">
      <c r="C65218"/>
      <c r="M65218"/>
    </row>
    <row r="65219" spans="3:13" ht="12.75" customHeight="1">
      <c r="C65219"/>
      <c r="M65219"/>
    </row>
    <row r="65220" spans="3:13" ht="12.75" customHeight="1">
      <c r="C65220"/>
      <c r="M65220"/>
    </row>
    <row r="65221" spans="3:13" ht="12.75" customHeight="1">
      <c r="C65221"/>
      <c r="M65221"/>
    </row>
    <row r="65222" spans="3:13" ht="12.75" customHeight="1">
      <c r="C65222"/>
      <c r="M65222"/>
    </row>
    <row r="65223" spans="3:13" ht="12.75" customHeight="1">
      <c r="C65223"/>
      <c r="M65223"/>
    </row>
    <row r="65224" spans="3:13" ht="12.75" customHeight="1">
      <c r="C65224"/>
      <c r="M65224"/>
    </row>
    <row r="65225" spans="3:13" ht="12.75" customHeight="1">
      <c r="C65225"/>
      <c r="M65225"/>
    </row>
    <row r="65226" spans="3:13" ht="12.75" customHeight="1">
      <c r="C65226"/>
      <c r="M65226"/>
    </row>
    <row r="65227" spans="3:13" ht="12.75" customHeight="1">
      <c r="C65227"/>
      <c r="M65227"/>
    </row>
    <row r="65228" spans="3:13" ht="12.75" customHeight="1">
      <c r="C65228"/>
      <c r="M65228"/>
    </row>
    <row r="65229" spans="3:13" ht="12.75" customHeight="1">
      <c r="C65229"/>
      <c r="M65229"/>
    </row>
    <row r="65230" spans="3:13" ht="12.75" customHeight="1">
      <c r="C65230"/>
      <c r="M65230"/>
    </row>
    <row r="65231" spans="3:13" ht="12.75" customHeight="1">
      <c r="C65231"/>
      <c r="M65231"/>
    </row>
    <row r="65232" spans="3:13" ht="12.75" customHeight="1">
      <c r="C65232"/>
      <c r="M65232"/>
    </row>
    <row r="65233" spans="3:13" ht="12.75" customHeight="1">
      <c r="C65233"/>
      <c r="M65233"/>
    </row>
    <row r="65234" spans="3:13" ht="12.75" customHeight="1">
      <c r="C65234"/>
      <c r="M65234"/>
    </row>
    <row r="65235" spans="3:13" ht="12.75" customHeight="1">
      <c r="C65235"/>
      <c r="M65235"/>
    </row>
    <row r="65236" spans="3:13" ht="12.75" customHeight="1">
      <c r="C65236"/>
      <c r="M65236"/>
    </row>
    <row r="65237" spans="3:13" ht="12.75" customHeight="1">
      <c r="C65237"/>
      <c r="M65237"/>
    </row>
    <row r="65238" spans="3:13" ht="12.75" customHeight="1">
      <c r="C65238"/>
      <c r="M65238"/>
    </row>
    <row r="65239" spans="3:13" ht="12.75" customHeight="1">
      <c r="C65239"/>
      <c r="M65239"/>
    </row>
    <row r="65240" spans="3:13" ht="12.75" customHeight="1">
      <c r="C65240"/>
      <c r="M65240"/>
    </row>
    <row r="65241" spans="3:13" ht="12.75" customHeight="1">
      <c r="C65241"/>
      <c r="M65241"/>
    </row>
    <row r="65242" spans="3:13" ht="12.75" customHeight="1">
      <c r="C65242"/>
      <c r="M65242"/>
    </row>
    <row r="65243" spans="3:13" ht="12.75" customHeight="1">
      <c r="C65243"/>
      <c r="M65243"/>
    </row>
    <row r="65244" spans="3:13" ht="12.75" customHeight="1">
      <c r="C65244"/>
      <c r="M65244"/>
    </row>
    <row r="65245" spans="3:13" ht="12.75" customHeight="1">
      <c r="C65245"/>
      <c r="M65245"/>
    </row>
    <row r="65246" spans="3:13" ht="12.75" customHeight="1">
      <c r="C65246"/>
      <c r="M65246"/>
    </row>
    <row r="65247" spans="3:13" ht="12.75" customHeight="1">
      <c r="C65247"/>
      <c r="M65247"/>
    </row>
    <row r="65248" spans="3:13" ht="12.75" customHeight="1">
      <c r="C65248"/>
      <c r="M65248"/>
    </row>
    <row r="65249" spans="3:13" ht="12.75" customHeight="1">
      <c r="C65249"/>
      <c r="M65249"/>
    </row>
    <row r="65250" spans="3:13" ht="12.75" customHeight="1">
      <c r="C65250"/>
      <c r="M65250"/>
    </row>
    <row r="65251" spans="3:13" ht="12.75" customHeight="1">
      <c r="C65251"/>
      <c r="M65251"/>
    </row>
    <row r="65252" spans="3:13" ht="12.75" customHeight="1">
      <c r="C65252"/>
      <c r="M65252"/>
    </row>
    <row r="65253" spans="3:13" ht="12.75" customHeight="1">
      <c r="C65253"/>
      <c r="M65253"/>
    </row>
    <row r="65254" spans="3:13" ht="12.75" customHeight="1">
      <c r="C65254"/>
      <c r="M65254"/>
    </row>
    <row r="65255" spans="3:13" ht="12.75" customHeight="1">
      <c r="C65255"/>
      <c r="M65255"/>
    </row>
    <row r="65256" spans="3:13" ht="12.75" customHeight="1">
      <c r="C65256"/>
      <c r="M65256"/>
    </row>
    <row r="65257" spans="3:13" ht="12.75" customHeight="1">
      <c r="C65257"/>
      <c r="M65257"/>
    </row>
    <row r="65258" spans="3:13" ht="12.75" customHeight="1">
      <c r="C65258"/>
      <c r="M65258"/>
    </row>
    <row r="65259" spans="3:13" ht="12.75" customHeight="1">
      <c r="C65259"/>
      <c r="M65259"/>
    </row>
    <row r="65260" spans="3:13" ht="12.75" customHeight="1">
      <c r="C65260"/>
      <c r="M65260"/>
    </row>
    <row r="65261" spans="3:13" ht="12.75" customHeight="1">
      <c r="C65261"/>
      <c r="M65261"/>
    </row>
    <row r="65262" spans="3:13" ht="12.75" customHeight="1">
      <c r="C65262"/>
      <c r="M65262"/>
    </row>
    <row r="65263" spans="3:13" ht="12.75" customHeight="1">
      <c r="C65263"/>
      <c r="M65263"/>
    </row>
    <row r="65264" spans="3:13" ht="12.75" customHeight="1">
      <c r="C65264"/>
      <c r="M65264"/>
    </row>
    <row r="65265" spans="3:13" ht="12.75" customHeight="1">
      <c r="C65265"/>
      <c r="M65265"/>
    </row>
    <row r="65266" spans="3:13" ht="12.75" customHeight="1">
      <c r="C65266"/>
      <c r="M65266"/>
    </row>
    <row r="65267" spans="3:13" ht="12.75" customHeight="1">
      <c r="C65267"/>
      <c r="M65267"/>
    </row>
    <row r="65268" spans="3:13" ht="12.75" customHeight="1">
      <c r="C65268"/>
      <c r="M65268"/>
    </row>
    <row r="65269" spans="3:13" ht="12.75" customHeight="1">
      <c r="C65269"/>
      <c r="M65269"/>
    </row>
    <row r="65270" spans="3:13" ht="12.75" customHeight="1">
      <c r="C65270"/>
      <c r="M65270"/>
    </row>
    <row r="65271" spans="3:13" ht="12.75" customHeight="1">
      <c r="C65271"/>
      <c r="M65271"/>
    </row>
    <row r="65272" spans="3:13" ht="12.75" customHeight="1">
      <c r="C65272"/>
      <c r="M65272"/>
    </row>
    <row r="65273" spans="3:13" ht="12.75" customHeight="1">
      <c r="C65273"/>
      <c r="M65273"/>
    </row>
    <row r="65274" spans="3:13" ht="12.75" customHeight="1">
      <c r="C65274"/>
      <c r="M65274"/>
    </row>
    <row r="65275" spans="3:13" ht="12.75" customHeight="1">
      <c r="C65275"/>
      <c r="M65275"/>
    </row>
    <row r="65276" spans="3:13" ht="12.75" customHeight="1">
      <c r="C65276"/>
      <c r="M65276"/>
    </row>
    <row r="65277" spans="3:13" ht="12.75" customHeight="1">
      <c r="C65277"/>
      <c r="M65277"/>
    </row>
    <row r="65278" spans="3:13" ht="12.75" customHeight="1">
      <c r="C65278"/>
      <c r="M65278"/>
    </row>
    <row r="65279" spans="3:13" ht="12.75" customHeight="1">
      <c r="C65279"/>
      <c r="M65279"/>
    </row>
    <row r="65280" spans="3:13" ht="12.75" customHeight="1">
      <c r="C65280"/>
      <c r="M65280"/>
    </row>
    <row r="65281" spans="3:13" ht="12.75" customHeight="1">
      <c r="C65281"/>
      <c r="M65281"/>
    </row>
    <row r="65282" spans="3:13" ht="12.75" customHeight="1">
      <c r="C65282"/>
      <c r="M65282"/>
    </row>
    <row r="65283" spans="3:13" ht="12.75" customHeight="1">
      <c r="C65283"/>
      <c r="M65283"/>
    </row>
    <row r="65284" spans="3:13" ht="12.75" customHeight="1">
      <c r="C65284"/>
      <c r="M65284"/>
    </row>
    <row r="65285" spans="3:13" ht="12.75" customHeight="1">
      <c r="C65285"/>
      <c r="M65285"/>
    </row>
    <row r="65286" spans="3:13" ht="12.75" customHeight="1">
      <c r="C65286"/>
      <c r="M65286"/>
    </row>
    <row r="65287" spans="3:13" ht="12.75" customHeight="1">
      <c r="C65287"/>
      <c r="M65287"/>
    </row>
    <row r="65288" spans="3:13" ht="12.75" customHeight="1">
      <c r="C65288"/>
      <c r="M65288"/>
    </row>
    <row r="65289" spans="3:13" ht="12.75" customHeight="1">
      <c r="C65289"/>
      <c r="M65289"/>
    </row>
    <row r="65290" spans="3:13" ht="12.75" customHeight="1">
      <c r="C65290"/>
      <c r="M65290"/>
    </row>
    <row r="65291" spans="3:13" ht="12.75" customHeight="1">
      <c r="C65291"/>
      <c r="M65291"/>
    </row>
    <row r="65292" spans="3:13" ht="12.75" customHeight="1">
      <c r="C65292"/>
      <c r="M65292"/>
    </row>
    <row r="65293" spans="3:13" ht="12.75" customHeight="1">
      <c r="C65293"/>
      <c r="M65293"/>
    </row>
    <row r="65294" spans="3:13" ht="12.75" customHeight="1">
      <c r="C65294"/>
      <c r="M65294"/>
    </row>
    <row r="65295" spans="3:13" ht="12.75" customHeight="1">
      <c r="C65295"/>
      <c r="M65295"/>
    </row>
    <row r="65296" spans="3:13" ht="12.75" customHeight="1">
      <c r="C65296"/>
      <c r="M65296"/>
    </row>
    <row r="65297" spans="3:13" ht="12.75" customHeight="1">
      <c r="C65297"/>
      <c r="M65297"/>
    </row>
    <row r="65298" spans="3:13" ht="12.75" customHeight="1">
      <c r="C65298"/>
      <c r="M65298"/>
    </row>
    <row r="65299" spans="3:13" ht="12.75" customHeight="1">
      <c r="C65299"/>
      <c r="M65299"/>
    </row>
    <row r="65300" spans="3:13" ht="12.75" customHeight="1">
      <c r="C65300"/>
      <c r="M65300"/>
    </row>
    <row r="65301" spans="3:13" ht="12.75" customHeight="1">
      <c r="C65301"/>
      <c r="M65301"/>
    </row>
    <row r="65302" spans="3:13" ht="12.75" customHeight="1">
      <c r="C65302"/>
      <c r="M65302"/>
    </row>
    <row r="65303" spans="3:13" ht="12.75" customHeight="1">
      <c r="C65303"/>
      <c r="M65303"/>
    </row>
    <row r="65304" spans="3:13" ht="12.75" customHeight="1">
      <c r="C65304"/>
      <c r="M65304"/>
    </row>
    <row r="65305" spans="3:13" ht="12.75" customHeight="1">
      <c r="C65305"/>
      <c r="M65305"/>
    </row>
    <row r="65306" spans="3:13" ht="12.75" customHeight="1">
      <c r="C65306"/>
      <c r="M65306"/>
    </row>
    <row r="65307" spans="3:13" ht="12.75" customHeight="1">
      <c r="C65307"/>
      <c r="M65307"/>
    </row>
    <row r="65308" spans="3:13" ht="12.75" customHeight="1">
      <c r="C65308"/>
      <c r="M65308"/>
    </row>
    <row r="65309" spans="3:13" ht="12.75" customHeight="1">
      <c r="C65309"/>
      <c r="M65309"/>
    </row>
    <row r="65310" spans="3:13" ht="12.75" customHeight="1">
      <c r="C65310"/>
      <c r="M65310"/>
    </row>
    <row r="65311" spans="3:13" ht="12.75" customHeight="1">
      <c r="C65311"/>
      <c r="M65311"/>
    </row>
  </sheetData>
  <sheetProtection password="BD1F" sheet="1" objects="1" scenarios="1" autoFilter="0"/>
  <autoFilter ref="C15:C43"/>
  <mergeCells count="15">
    <mergeCell ref="E15:H15"/>
    <mergeCell ref="E4:F4"/>
    <mergeCell ref="G4:H4"/>
    <mergeCell ref="S4:T4"/>
    <mergeCell ref="U4:Z4"/>
    <mergeCell ref="E5:F5"/>
    <mergeCell ref="G5:H5"/>
    <mergeCell ref="S5:T5"/>
    <mergeCell ref="U5:Z5"/>
    <mergeCell ref="F1:H1"/>
    <mergeCell ref="Q1:R1"/>
    <mergeCell ref="Y1:Z1"/>
    <mergeCell ref="F2:H2"/>
    <mergeCell ref="Q2:R2"/>
    <mergeCell ref="Y2:Z2"/>
  </mergeCells>
  <phoneticPr fontId="37" type="noConversion"/>
  <conditionalFormatting sqref="D14:I14 D16:I42">
    <cfRule type="expression" dxfId="113" priority="5314" stopIfTrue="1">
      <formula>$B14=1</formula>
    </cfRule>
    <cfRule type="expression" dxfId="112" priority="5315" stopIfTrue="1">
      <formula>OR($B14=0,$B14=2,$B14=3,$B14=4)</formula>
    </cfRule>
  </conditionalFormatting>
  <conditionalFormatting sqref="M12:N43">
    <cfRule type="expression" dxfId="111" priority="5316" stopIfTrue="1">
      <formula>ACOMPANHAMENTO="BM"</formula>
    </cfRule>
    <cfRule type="expression" dxfId="110" priority="5317" stopIfTrue="1">
      <formula>OR($B12=0,$B12=2,$B12=3,$B12=4)</formula>
    </cfRule>
    <cfRule type="expression" dxfId="109" priority="5318" stopIfTrue="1">
      <formula>$B12=1</formula>
    </cfRule>
  </conditionalFormatting>
  <conditionalFormatting sqref="K12:K43">
    <cfRule type="expression" dxfId="108" priority="5319" stopIfTrue="1">
      <formula>OR(ACOMPANHAMENTO="BM",$A$12&lt;&gt;"Manual")</formula>
    </cfRule>
    <cfRule type="expression" dxfId="107" priority="5320" stopIfTrue="1">
      <formula>$B12=1</formula>
    </cfRule>
    <cfRule type="expression" dxfId="106" priority="5321" stopIfTrue="1">
      <formula>OR($B12=2,$B12=3,$B12=4,$B12=0)</formula>
    </cfRule>
  </conditionalFormatting>
  <conditionalFormatting sqref="O12:AA43">
    <cfRule type="expression" dxfId="105" priority="5322" stopIfTrue="1">
      <formula>ACOMPANHAMENTO="BM"</formula>
    </cfRule>
    <cfRule type="expression" dxfId="104" priority="5323" stopIfTrue="1">
      <formula>AND(O$12&lt;&gt;".",OR($B12=0,$B12=2,$B12=3,$B12=4,AND(O$12="",$B12&lt;&gt;"Empty"),OFFSET(O$12,0,-1)=""))</formula>
    </cfRule>
    <cfRule type="expression" dxfId="103" priority="5324" stopIfTrue="1">
      <formula>AND($B12=1,O$12&lt;&gt;".")</formula>
    </cfRule>
  </conditionalFormatting>
  <dataValidations count="4">
    <dataValidation type="decimal" operator="greaterThan" allowBlank="1" showErrorMessage="1" error="Apenas números decimais maiores que zero." sqref="O14 Q14:Z14 O16:O42 Q16:Z42">
      <formula1>0</formula1>
      <formula2>0</formula2>
    </dataValidation>
    <dataValidation type="list" allowBlank="1" showErrorMessage="1" sqref="K14 K16:K42">
      <formula1>EVENTOS.ListaValidacao</formula1>
      <formula2>0</formula2>
    </dataValidation>
    <dataValidation allowBlank="1" showInputMessage="1" showErrorMessage="1" prompt="A quantidade é digitada nas colunas Q em diante, após preencher o nome das frentes de obra na célula Q12 em diante" sqref="H14 H16:H42"/>
    <dataValidation allowBlank="1" showInputMessage="1" showErrorMessage="1" prompt="A frente de obra é uma porção física da obra. Exemplos: Única; Rua A; Rua B; Trecho 01; Trecho 02; 1º Andar; 2º Andar; Copa; Banheiro" sqref="Q12"/>
  </dataValidations>
  <pageMargins left="0.78740157480314998" right="0.78740157480314998" top="0.78740157480314998" bottom="0.78740157480314998" header="0.59055118110236204" footer="0.59055118110236204"/>
  <pageSetup paperSize="9" scale="65" firstPageNumber="0" orientation="landscape" r:id="rId1"/>
  <headerFooter alignWithMargins="0">
    <oddHeader>&amp;C&amp;14I</oddHeader>
    <oddFooter>&amp;LPMv3.0.6&amp;R&amp;P / &amp;N</oddFooter>
  </headerFooter>
  <colBreaks count="1" manualBreakCount="1">
    <brk id="27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Plan8">
    <pageSetUpPr fitToPage="1"/>
  </sheetPr>
  <dimension ref="B2:F65"/>
  <sheetViews>
    <sheetView showGridLines="0" zoomScale="90" zoomScaleNormal="90" workbookViewId="0">
      <pane ySplit="14" topLeftCell="A15" activePane="bottomLeft" state="frozen"/>
      <selection pane="bottomLeft"/>
    </sheetView>
  </sheetViews>
  <sheetFormatPr defaultRowHeight="12.75"/>
  <cols>
    <col min="2" max="2" width="0" hidden="1" customWidth="1"/>
    <col min="3" max="3" width="12.7109375" customWidth="1"/>
    <col min="4" max="4" width="30.7109375" customWidth="1"/>
    <col min="6" max="6" width="25.7109375" customWidth="1"/>
  </cols>
  <sheetData>
    <row r="2" spans="2:6" ht="15.75">
      <c r="C2" s="98" t="s">
        <v>264</v>
      </c>
    </row>
    <row r="4" spans="2:6">
      <c r="C4" t="s">
        <v>265</v>
      </c>
    </row>
    <row r="6" spans="2:6">
      <c r="C6" s="725" t="s">
        <v>408</v>
      </c>
      <c r="D6" s="725"/>
      <c r="E6" s="725"/>
      <c r="F6" s="725"/>
    </row>
    <row r="8" spans="2:6" ht="33.75" customHeight="1"/>
    <row r="9" spans="2:6" ht="12" customHeight="1">
      <c r="C9" s="726" t="str">
        <f>IF(ACOMPANHAMENTO="BM","Foi selecionado na aba 'MENU' o acompanhamento por BM. Não há necessidade de definição de Eventos.","")</f>
        <v>Foi selecionado na aba 'MENU' o acompanhamento por BM. Não há necessidade de definição de Eventos.</v>
      </c>
      <c r="D9" s="726"/>
      <c r="E9" s="726"/>
      <c r="F9" s="726"/>
    </row>
    <row r="10" spans="2:6" ht="12" customHeight="1">
      <c r="C10" s="726"/>
      <c r="D10" s="726"/>
      <c r="E10" s="726"/>
      <c r="F10" s="726"/>
    </row>
    <row r="11" spans="2:6" ht="12" customHeight="1">
      <c r="C11" s="726"/>
      <c r="D11" s="726"/>
      <c r="E11" s="726"/>
      <c r="F11" s="726"/>
    </row>
    <row r="12" spans="2:6" ht="12" customHeight="1"/>
    <row r="13" spans="2:6" ht="15">
      <c r="C13" s="226" t="s">
        <v>266</v>
      </c>
      <c r="D13" s="727" t="s">
        <v>267</v>
      </c>
      <c r="E13" s="727"/>
      <c r="F13" s="227" t="s">
        <v>268</v>
      </c>
    </row>
    <row r="14" spans="2:6" hidden="1">
      <c r="B14" t="e">
        <f ca="1">CONCATENATE(C14,".",D14)</f>
        <v>#VALUE!</v>
      </c>
      <c r="C14" s="228" t="e">
        <f ca="1">OFFSET(C14,-1,0)+1</f>
        <v>#VALUE!</v>
      </c>
      <c r="D14" s="724"/>
      <c r="E14" s="724"/>
      <c r="F14" s="229">
        <f ca="1">IF(AUTOEVENTO="Manual",ROUND(SUMPRODUCT((CÁLCULO!$M$15:$M$43=EVENTOS!$C14)*(OFFSET(CÁLCULO!$AA$15,0,1):OFFSET(CÁLCULO!$AL$43,0,-1))),2),0)</f>
        <v>0</v>
      </c>
    </row>
    <row r="15" spans="2:6">
      <c r="B15" t="str">
        <f>CONCATENATE(C15,".",D15)</f>
        <v>1.Administração Local</v>
      </c>
      <c r="C15" s="230">
        <v>1</v>
      </c>
      <c r="D15" s="728" t="s">
        <v>269</v>
      </c>
      <c r="E15" s="728"/>
      <c r="F15" s="231">
        <f ca="1">IF(AUTOEVENTO="Manual",ROUND(SUMIF(CÁLCULO!$M$15:$M$43,1,ORÇAMENTO!$X$15:$X$43),2),0)</f>
        <v>0</v>
      </c>
    </row>
    <row r="16" spans="2:6">
      <c r="B16" t="str">
        <f t="shared" ref="B16:B64" ca="1" si="0">CONCATENATE(C16,".",D16)</f>
        <v>2.</v>
      </c>
      <c r="C16" s="228">
        <f t="shared" ref="C16:C64" ca="1" si="1">OFFSET(C16,-1,0)+1</f>
        <v>2</v>
      </c>
      <c r="D16" s="724"/>
      <c r="E16" s="724"/>
      <c r="F16" s="229">
        <f ca="1">IF(AUTOEVENTO="Manual",ROUND(SUMPRODUCT((CÁLCULO!$M$15:$M$43=EVENTOS!$C16)*(OFFSET(CÁLCULO!$AA$15,0,1):OFFSET(CÁLCULO!$AL$43,0,-1))),2),0)</f>
        <v>0</v>
      </c>
    </row>
    <row r="17" spans="2:6">
      <c r="B17" t="str">
        <f t="shared" ca="1" si="0"/>
        <v>3.</v>
      </c>
      <c r="C17" s="228">
        <f t="shared" ca="1" si="1"/>
        <v>3</v>
      </c>
      <c r="D17" s="724"/>
      <c r="E17" s="724"/>
      <c r="F17" s="229">
        <f ca="1">IF(AUTOEVENTO="Manual",ROUND(SUMPRODUCT((CÁLCULO!$M$15:$M$43=EVENTOS!$C17)*(OFFSET(CÁLCULO!$AA$15,0,1):OFFSET(CÁLCULO!$AL$43,0,-1))),2),0)</f>
        <v>0</v>
      </c>
    </row>
    <row r="18" spans="2:6">
      <c r="B18" t="str">
        <f t="shared" ca="1" si="0"/>
        <v>4.</v>
      </c>
      <c r="C18" s="228">
        <f t="shared" ca="1" si="1"/>
        <v>4</v>
      </c>
      <c r="D18" s="724"/>
      <c r="E18" s="724"/>
      <c r="F18" s="229">
        <f ca="1">IF(AUTOEVENTO="Manual",ROUND(SUMPRODUCT((CÁLCULO!$M$15:$M$43=EVENTOS!$C18)*(OFFSET(CÁLCULO!$AA$15,0,1):OFFSET(CÁLCULO!$AL$43,0,-1))),2),0)</f>
        <v>0</v>
      </c>
    </row>
    <row r="19" spans="2:6">
      <c r="B19" t="str">
        <f t="shared" ca="1" si="0"/>
        <v>5.</v>
      </c>
      <c r="C19" s="228">
        <f t="shared" ca="1" si="1"/>
        <v>5</v>
      </c>
      <c r="D19" s="724"/>
      <c r="E19" s="724"/>
      <c r="F19" s="229">
        <f ca="1">IF(AUTOEVENTO="Manual",ROUND(SUMPRODUCT((CÁLCULO!$M$15:$M$43=EVENTOS!$C19)*(OFFSET(CÁLCULO!$AA$15,0,1):OFFSET(CÁLCULO!$AL$43,0,-1))),2),0)</f>
        <v>0</v>
      </c>
    </row>
    <row r="20" spans="2:6">
      <c r="B20" t="str">
        <f t="shared" ca="1" si="0"/>
        <v>6.</v>
      </c>
      <c r="C20" s="228">
        <f t="shared" ca="1" si="1"/>
        <v>6</v>
      </c>
      <c r="D20" s="724"/>
      <c r="E20" s="724"/>
      <c r="F20" s="229">
        <f ca="1">IF(AUTOEVENTO="Manual",ROUND(SUMPRODUCT((CÁLCULO!$M$15:$M$43=EVENTOS!$C20)*(OFFSET(CÁLCULO!$AA$15,0,1):OFFSET(CÁLCULO!$AL$43,0,-1))),2),0)</f>
        <v>0</v>
      </c>
    </row>
    <row r="21" spans="2:6">
      <c r="B21" t="str">
        <f t="shared" ca="1" si="0"/>
        <v>7.</v>
      </c>
      <c r="C21" s="228">
        <f t="shared" ca="1" si="1"/>
        <v>7</v>
      </c>
      <c r="D21" s="724"/>
      <c r="E21" s="724"/>
      <c r="F21" s="229">
        <f ca="1">IF(AUTOEVENTO="Manual",ROUND(SUMPRODUCT((CÁLCULO!$M$15:$M$43=EVENTOS!$C21)*(OFFSET(CÁLCULO!$AA$15,0,1):OFFSET(CÁLCULO!$AL$43,0,-1))),2),0)</f>
        <v>0</v>
      </c>
    </row>
    <row r="22" spans="2:6">
      <c r="B22" t="str">
        <f t="shared" ca="1" si="0"/>
        <v>8.</v>
      </c>
      <c r="C22" s="228">
        <f t="shared" ca="1" si="1"/>
        <v>8</v>
      </c>
      <c r="D22" s="724"/>
      <c r="E22" s="724"/>
      <c r="F22" s="229">
        <f ca="1">IF(AUTOEVENTO="Manual",ROUND(SUMPRODUCT((CÁLCULO!$M$15:$M$43=EVENTOS!$C22)*(OFFSET(CÁLCULO!$AA$15,0,1):OFFSET(CÁLCULO!$AL$43,0,-1))),2),0)</f>
        <v>0</v>
      </c>
    </row>
    <row r="23" spans="2:6">
      <c r="B23" t="str">
        <f t="shared" ca="1" si="0"/>
        <v>9.</v>
      </c>
      <c r="C23" s="228">
        <f t="shared" ca="1" si="1"/>
        <v>9</v>
      </c>
      <c r="D23" s="724"/>
      <c r="E23" s="724"/>
      <c r="F23" s="229">
        <f ca="1">IF(AUTOEVENTO="Manual",ROUND(SUMPRODUCT((CÁLCULO!$M$15:$M$43=EVENTOS!$C23)*(OFFSET(CÁLCULO!$AA$15,0,1):OFFSET(CÁLCULO!$AL$43,0,-1))),2),0)</f>
        <v>0</v>
      </c>
    </row>
    <row r="24" spans="2:6">
      <c r="B24" t="str">
        <f t="shared" ca="1" si="0"/>
        <v>10.</v>
      </c>
      <c r="C24" s="228">
        <f t="shared" ca="1" si="1"/>
        <v>10</v>
      </c>
      <c r="D24" s="724"/>
      <c r="E24" s="724"/>
      <c r="F24" s="229">
        <f ca="1">IF(AUTOEVENTO="Manual",ROUND(SUMPRODUCT((CÁLCULO!$M$15:$M$43=EVENTOS!$C24)*(OFFSET(CÁLCULO!$AA$15,0,1):OFFSET(CÁLCULO!$AL$43,0,-1))),2),0)</f>
        <v>0</v>
      </c>
    </row>
    <row r="25" spans="2:6">
      <c r="B25" t="str">
        <f t="shared" ca="1" si="0"/>
        <v>11.</v>
      </c>
      <c r="C25" s="228">
        <f t="shared" ca="1" si="1"/>
        <v>11</v>
      </c>
      <c r="D25" s="724"/>
      <c r="E25" s="724"/>
      <c r="F25" s="229">
        <f ca="1">IF(AUTOEVENTO="Manual",ROUND(SUMPRODUCT((CÁLCULO!$M$15:$M$43=EVENTOS!$C25)*(OFFSET(CÁLCULO!$AA$15,0,1):OFFSET(CÁLCULO!$AL$43,0,-1))),2),0)</f>
        <v>0</v>
      </c>
    </row>
    <row r="26" spans="2:6">
      <c r="B26" t="str">
        <f t="shared" ca="1" si="0"/>
        <v>12.</v>
      </c>
      <c r="C26" s="228">
        <f t="shared" ca="1" si="1"/>
        <v>12</v>
      </c>
      <c r="D26" s="724"/>
      <c r="E26" s="724"/>
      <c r="F26" s="229">
        <f ca="1">IF(AUTOEVENTO="Manual",ROUND(SUMPRODUCT((CÁLCULO!$M$15:$M$43=EVENTOS!$C26)*(OFFSET(CÁLCULO!$AA$15,0,1):OFFSET(CÁLCULO!$AL$43,0,-1))),2),0)</f>
        <v>0</v>
      </c>
    </row>
    <row r="27" spans="2:6">
      <c r="B27" t="str">
        <f t="shared" ca="1" si="0"/>
        <v>13.</v>
      </c>
      <c r="C27" s="228">
        <f t="shared" ca="1" si="1"/>
        <v>13</v>
      </c>
      <c r="D27" s="724"/>
      <c r="E27" s="724"/>
      <c r="F27" s="229">
        <f ca="1">IF(AUTOEVENTO="Manual",ROUND(SUMPRODUCT((CÁLCULO!$M$15:$M$43=EVENTOS!$C27)*(OFFSET(CÁLCULO!$AA$15,0,1):OFFSET(CÁLCULO!$AL$43,0,-1))),2),0)</f>
        <v>0</v>
      </c>
    </row>
    <row r="28" spans="2:6">
      <c r="B28" t="str">
        <f t="shared" ca="1" si="0"/>
        <v>14.</v>
      </c>
      <c r="C28" s="228">
        <f t="shared" ca="1" si="1"/>
        <v>14</v>
      </c>
      <c r="D28" s="724"/>
      <c r="E28" s="724"/>
      <c r="F28" s="229">
        <f ca="1">IF(AUTOEVENTO="Manual",ROUND(SUMPRODUCT((CÁLCULO!$M$15:$M$43=EVENTOS!$C28)*(OFFSET(CÁLCULO!$AA$15,0,1):OFFSET(CÁLCULO!$AL$43,0,-1))),2),0)</f>
        <v>0</v>
      </c>
    </row>
    <row r="29" spans="2:6">
      <c r="B29" t="str">
        <f t="shared" ca="1" si="0"/>
        <v>15.</v>
      </c>
      <c r="C29" s="228">
        <f t="shared" ca="1" si="1"/>
        <v>15</v>
      </c>
      <c r="D29" s="724"/>
      <c r="E29" s="724"/>
      <c r="F29" s="229">
        <f ca="1">IF(AUTOEVENTO="Manual",ROUND(SUMPRODUCT((CÁLCULO!$M$15:$M$43=EVENTOS!$C29)*(OFFSET(CÁLCULO!$AA$15,0,1):OFFSET(CÁLCULO!$AL$43,0,-1))),2),0)</f>
        <v>0</v>
      </c>
    </row>
    <row r="30" spans="2:6">
      <c r="B30" t="str">
        <f t="shared" ca="1" si="0"/>
        <v>16.</v>
      </c>
      <c r="C30" s="228">
        <f t="shared" ca="1" si="1"/>
        <v>16</v>
      </c>
      <c r="D30" s="724"/>
      <c r="E30" s="724"/>
      <c r="F30" s="229">
        <f ca="1">IF(AUTOEVENTO="Manual",ROUND(SUMPRODUCT((CÁLCULO!$M$15:$M$43=EVENTOS!$C30)*(OFFSET(CÁLCULO!$AA$15,0,1):OFFSET(CÁLCULO!$AL$43,0,-1))),2),0)</f>
        <v>0</v>
      </c>
    </row>
    <row r="31" spans="2:6">
      <c r="B31" t="str">
        <f t="shared" ca="1" si="0"/>
        <v>17.</v>
      </c>
      <c r="C31" s="228">
        <f t="shared" ca="1" si="1"/>
        <v>17</v>
      </c>
      <c r="D31" s="724"/>
      <c r="E31" s="724"/>
      <c r="F31" s="229">
        <f ca="1">IF(AUTOEVENTO="Manual",ROUND(SUMPRODUCT((CÁLCULO!$M$15:$M$43=EVENTOS!$C31)*(OFFSET(CÁLCULO!$AA$15,0,1):OFFSET(CÁLCULO!$AL$43,0,-1))),2),0)</f>
        <v>0</v>
      </c>
    </row>
    <row r="32" spans="2:6">
      <c r="B32" t="str">
        <f t="shared" ca="1" si="0"/>
        <v>18.</v>
      </c>
      <c r="C32" s="228">
        <f t="shared" ca="1" si="1"/>
        <v>18</v>
      </c>
      <c r="D32" s="724"/>
      <c r="E32" s="724"/>
      <c r="F32" s="229">
        <f ca="1">IF(AUTOEVENTO="Manual",ROUND(SUMPRODUCT((CÁLCULO!$M$15:$M$43=EVENTOS!$C32)*(OFFSET(CÁLCULO!$AA$15,0,1):OFFSET(CÁLCULO!$AL$43,0,-1))),2),0)</f>
        <v>0</v>
      </c>
    </row>
    <row r="33" spans="2:6">
      <c r="B33" t="str">
        <f t="shared" ca="1" si="0"/>
        <v>19.</v>
      </c>
      <c r="C33" s="228">
        <f t="shared" ca="1" si="1"/>
        <v>19</v>
      </c>
      <c r="D33" s="724"/>
      <c r="E33" s="724"/>
      <c r="F33" s="229">
        <f ca="1">IF(AUTOEVENTO="Manual",ROUND(SUMPRODUCT((CÁLCULO!$M$15:$M$43=EVENTOS!$C33)*(OFFSET(CÁLCULO!$AA$15,0,1):OFFSET(CÁLCULO!$AL$43,0,-1))),2),0)</f>
        <v>0</v>
      </c>
    </row>
    <row r="34" spans="2:6">
      <c r="B34" t="str">
        <f t="shared" ca="1" si="0"/>
        <v>20.</v>
      </c>
      <c r="C34" s="228">
        <f t="shared" ca="1" si="1"/>
        <v>20</v>
      </c>
      <c r="D34" s="724"/>
      <c r="E34" s="724"/>
      <c r="F34" s="229">
        <f ca="1">IF(AUTOEVENTO="Manual",ROUND(SUMPRODUCT((CÁLCULO!$M$15:$M$43=EVENTOS!$C34)*(OFFSET(CÁLCULO!$AA$15,0,1):OFFSET(CÁLCULO!$AL$43,0,-1))),2),0)</f>
        <v>0</v>
      </c>
    </row>
    <row r="35" spans="2:6">
      <c r="B35" t="str">
        <f t="shared" ca="1" si="0"/>
        <v>21.</v>
      </c>
      <c r="C35" s="228">
        <f t="shared" ca="1" si="1"/>
        <v>21</v>
      </c>
      <c r="D35" s="724"/>
      <c r="E35" s="724"/>
      <c r="F35" s="229">
        <f ca="1">IF(AUTOEVENTO="Manual",ROUND(SUMPRODUCT((CÁLCULO!$M$15:$M$43=EVENTOS!$C35)*(OFFSET(CÁLCULO!$AA$15,0,1):OFFSET(CÁLCULO!$AL$43,0,-1))),2),0)</f>
        <v>0</v>
      </c>
    </row>
    <row r="36" spans="2:6">
      <c r="B36" t="str">
        <f t="shared" ca="1" si="0"/>
        <v>22.</v>
      </c>
      <c r="C36" s="228">
        <f t="shared" ca="1" si="1"/>
        <v>22</v>
      </c>
      <c r="D36" s="724"/>
      <c r="E36" s="724"/>
      <c r="F36" s="229">
        <f ca="1">IF(AUTOEVENTO="Manual",ROUND(SUMPRODUCT((CÁLCULO!$M$15:$M$43=EVENTOS!$C36)*(OFFSET(CÁLCULO!$AA$15,0,1):OFFSET(CÁLCULO!$AL$43,0,-1))),2),0)</f>
        <v>0</v>
      </c>
    </row>
    <row r="37" spans="2:6">
      <c r="B37" t="str">
        <f t="shared" ca="1" si="0"/>
        <v>23.</v>
      </c>
      <c r="C37" s="228">
        <f t="shared" ca="1" si="1"/>
        <v>23</v>
      </c>
      <c r="D37" s="724"/>
      <c r="E37" s="724"/>
      <c r="F37" s="229">
        <f ca="1">IF(AUTOEVENTO="Manual",ROUND(SUMPRODUCT((CÁLCULO!$M$15:$M$43=EVENTOS!$C37)*(OFFSET(CÁLCULO!$AA$15,0,1):OFFSET(CÁLCULO!$AL$43,0,-1))),2),0)</f>
        <v>0</v>
      </c>
    </row>
    <row r="38" spans="2:6">
      <c r="B38" t="str">
        <f t="shared" ca="1" si="0"/>
        <v>24.</v>
      </c>
      <c r="C38" s="228">
        <f t="shared" ca="1" si="1"/>
        <v>24</v>
      </c>
      <c r="D38" s="724"/>
      <c r="E38" s="724"/>
      <c r="F38" s="229">
        <f ca="1">IF(AUTOEVENTO="Manual",ROUND(SUMPRODUCT((CÁLCULO!$M$15:$M$43=EVENTOS!$C38)*(OFFSET(CÁLCULO!$AA$15,0,1):OFFSET(CÁLCULO!$AL$43,0,-1))),2),0)</f>
        <v>0</v>
      </c>
    </row>
    <row r="39" spans="2:6">
      <c r="B39" t="str">
        <f t="shared" ca="1" si="0"/>
        <v>25.</v>
      </c>
      <c r="C39" s="228">
        <f t="shared" ca="1" si="1"/>
        <v>25</v>
      </c>
      <c r="D39" s="724"/>
      <c r="E39" s="724"/>
      <c r="F39" s="229">
        <f ca="1">IF(AUTOEVENTO="Manual",ROUND(SUMPRODUCT((CÁLCULO!$M$15:$M$43=EVENTOS!$C39)*(OFFSET(CÁLCULO!$AA$15,0,1):OFFSET(CÁLCULO!$AL$43,0,-1))),2),0)</f>
        <v>0</v>
      </c>
    </row>
    <row r="40" spans="2:6">
      <c r="B40" t="str">
        <f t="shared" ca="1" si="0"/>
        <v>26.</v>
      </c>
      <c r="C40" s="228">
        <f t="shared" ca="1" si="1"/>
        <v>26</v>
      </c>
      <c r="D40" s="724"/>
      <c r="E40" s="724"/>
      <c r="F40" s="229">
        <f ca="1">IF(AUTOEVENTO="Manual",ROUND(SUMPRODUCT((CÁLCULO!$M$15:$M$43=EVENTOS!$C40)*(OFFSET(CÁLCULO!$AA$15,0,1):OFFSET(CÁLCULO!$AL$43,0,-1))),2),0)</f>
        <v>0</v>
      </c>
    </row>
    <row r="41" spans="2:6">
      <c r="B41" t="str">
        <f t="shared" ca="1" si="0"/>
        <v>27.</v>
      </c>
      <c r="C41" s="228">
        <f t="shared" ca="1" si="1"/>
        <v>27</v>
      </c>
      <c r="D41" s="724"/>
      <c r="E41" s="724"/>
      <c r="F41" s="229">
        <f ca="1">IF(AUTOEVENTO="Manual",ROUND(SUMPRODUCT((CÁLCULO!$M$15:$M$43=EVENTOS!$C41)*(OFFSET(CÁLCULO!$AA$15,0,1):OFFSET(CÁLCULO!$AL$43,0,-1))),2),0)</f>
        <v>0</v>
      </c>
    </row>
    <row r="42" spans="2:6">
      <c r="B42" t="str">
        <f t="shared" ca="1" si="0"/>
        <v>28.</v>
      </c>
      <c r="C42" s="228">
        <f t="shared" ca="1" si="1"/>
        <v>28</v>
      </c>
      <c r="D42" s="724"/>
      <c r="E42" s="724"/>
      <c r="F42" s="229">
        <f ca="1">IF(AUTOEVENTO="Manual",ROUND(SUMPRODUCT((CÁLCULO!$M$15:$M$43=EVENTOS!$C42)*(OFFSET(CÁLCULO!$AA$15,0,1):OFFSET(CÁLCULO!$AL$43,0,-1))),2),0)</f>
        <v>0</v>
      </c>
    </row>
    <row r="43" spans="2:6">
      <c r="B43" t="str">
        <f t="shared" ca="1" si="0"/>
        <v>29.</v>
      </c>
      <c r="C43" s="228">
        <f t="shared" ca="1" si="1"/>
        <v>29</v>
      </c>
      <c r="D43" s="724"/>
      <c r="E43" s="724"/>
      <c r="F43" s="229">
        <f ca="1">IF(AUTOEVENTO="Manual",ROUND(SUMPRODUCT((CÁLCULO!$M$15:$M$43=EVENTOS!$C43)*(OFFSET(CÁLCULO!$AA$15,0,1):OFFSET(CÁLCULO!$AL$43,0,-1))),2),0)</f>
        <v>0</v>
      </c>
    </row>
    <row r="44" spans="2:6">
      <c r="B44" t="str">
        <f t="shared" ca="1" si="0"/>
        <v>30.</v>
      </c>
      <c r="C44" s="228">
        <f t="shared" ca="1" si="1"/>
        <v>30</v>
      </c>
      <c r="D44" s="724"/>
      <c r="E44" s="724"/>
      <c r="F44" s="229">
        <f ca="1">IF(AUTOEVENTO="Manual",ROUND(SUMPRODUCT((CÁLCULO!$M$15:$M$43=EVENTOS!$C44)*(OFFSET(CÁLCULO!$AA$15,0,1):OFFSET(CÁLCULO!$AL$43,0,-1))),2),0)</f>
        <v>0</v>
      </c>
    </row>
    <row r="45" spans="2:6">
      <c r="B45" t="str">
        <f t="shared" ca="1" si="0"/>
        <v>31.</v>
      </c>
      <c r="C45" s="228">
        <f t="shared" ca="1" si="1"/>
        <v>31</v>
      </c>
      <c r="D45" s="724"/>
      <c r="E45" s="724"/>
      <c r="F45" s="229">
        <f ca="1">IF(AUTOEVENTO="Manual",ROUND(SUMPRODUCT((CÁLCULO!$M$15:$M$43=EVENTOS!$C45)*(OFFSET(CÁLCULO!$AA$15,0,1):OFFSET(CÁLCULO!$AL$43,0,-1))),2),0)</f>
        <v>0</v>
      </c>
    </row>
    <row r="46" spans="2:6">
      <c r="B46" t="str">
        <f t="shared" ca="1" si="0"/>
        <v>32.</v>
      </c>
      <c r="C46" s="228">
        <f t="shared" ca="1" si="1"/>
        <v>32</v>
      </c>
      <c r="D46" s="724"/>
      <c r="E46" s="724"/>
      <c r="F46" s="229">
        <f ca="1">IF(AUTOEVENTO="Manual",ROUND(SUMPRODUCT((CÁLCULO!$M$15:$M$43=EVENTOS!$C46)*(OFFSET(CÁLCULO!$AA$15,0,1):OFFSET(CÁLCULO!$AL$43,0,-1))),2),0)</f>
        <v>0</v>
      </c>
    </row>
    <row r="47" spans="2:6">
      <c r="B47" t="str">
        <f t="shared" ca="1" si="0"/>
        <v>33.</v>
      </c>
      <c r="C47" s="228">
        <f t="shared" ca="1" si="1"/>
        <v>33</v>
      </c>
      <c r="D47" s="724"/>
      <c r="E47" s="724"/>
      <c r="F47" s="229">
        <f ca="1">IF(AUTOEVENTO="Manual",ROUND(SUMPRODUCT((CÁLCULO!$M$15:$M$43=EVENTOS!$C47)*(OFFSET(CÁLCULO!$AA$15,0,1):OFFSET(CÁLCULO!$AL$43,0,-1))),2),0)</f>
        <v>0</v>
      </c>
    </row>
    <row r="48" spans="2:6">
      <c r="B48" t="str">
        <f t="shared" ca="1" si="0"/>
        <v>34.</v>
      </c>
      <c r="C48" s="228">
        <f t="shared" ca="1" si="1"/>
        <v>34</v>
      </c>
      <c r="D48" s="724"/>
      <c r="E48" s="724"/>
      <c r="F48" s="229">
        <f ca="1">IF(AUTOEVENTO="Manual",ROUND(SUMPRODUCT((CÁLCULO!$M$15:$M$43=EVENTOS!$C48)*(OFFSET(CÁLCULO!$AA$15,0,1):OFFSET(CÁLCULO!$AL$43,0,-1))),2),0)</f>
        <v>0</v>
      </c>
    </row>
    <row r="49" spans="2:6">
      <c r="B49" t="str">
        <f t="shared" ca="1" si="0"/>
        <v>35.</v>
      </c>
      <c r="C49" s="228">
        <f t="shared" ca="1" si="1"/>
        <v>35</v>
      </c>
      <c r="D49" s="724"/>
      <c r="E49" s="724"/>
      <c r="F49" s="229">
        <f ca="1">IF(AUTOEVENTO="Manual",ROUND(SUMPRODUCT((CÁLCULO!$M$15:$M$43=EVENTOS!$C49)*(OFFSET(CÁLCULO!$AA$15,0,1):OFFSET(CÁLCULO!$AL$43,0,-1))),2),0)</f>
        <v>0</v>
      </c>
    </row>
    <row r="50" spans="2:6">
      <c r="B50" t="str">
        <f t="shared" ca="1" si="0"/>
        <v>36.</v>
      </c>
      <c r="C50" s="228">
        <f t="shared" ca="1" si="1"/>
        <v>36</v>
      </c>
      <c r="D50" s="724"/>
      <c r="E50" s="724"/>
      <c r="F50" s="229">
        <f ca="1">IF(AUTOEVENTO="Manual",ROUND(SUMPRODUCT((CÁLCULO!$M$15:$M$43=EVENTOS!$C50)*(OFFSET(CÁLCULO!$AA$15,0,1):OFFSET(CÁLCULO!$AL$43,0,-1))),2),0)</f>
        <v>0</v>
      </c>
    </row>
    <row r="51" spans="2:6">
      <c r="B51" t="str">
        <f t="shared" ca="1" si="0"/>
        <v>37.</v>
      </c>
      <c r="C51" s="228">
        <f t="shared" ca="1" si="1"/>
        <v>37</v>
      </c>
      <c r="D51" s="724"/>
      <c r="E51" s="724"/>
      <c r="F51" s="229">
        <f ca="1">IF(AUTOEVENTO="Manual",ROUND(SUMPRODUCT((CÁLCULO!$M$15:$M$43=EVENTOS!$C51)*(OFFSET(CÁLCULO!$AA$15,0,1):OFFSET(CÁLCULO!$AL$43,0,-1))),2),0)</f>
        <v>0</v>
      </c>
    </row>
    <row r="52" spans="2:6">
      <c r="B52" t="str">
        <f t="shared" ca="1" si="0"/>
        <v>38.</v>
      </c>
      <c r="C52" s="228">
        <f t="shared" ca="1" si="1"/>
        <v>38</v>
      </c>
      <c r="D52" s="724"/>
      <c r="E52" s="724"/>
      <c r="F52" s="229">
        <f ca="1">IF(AUTOEVENTO="Manual",ROUND(SUMPRODUCT((CÁLCULO!$M$15:$M$43=EVENTOS!$C52)*(OFFSET(CÁLCULO!$AA$15,0,1):OFFSET(CÁLCULO!$AL$43,0,-1))),2),0)</f>
        <v>0</v>
      </c>
    </row>
    <row r="53" spans="2:6">
      <c r="B53" t="str">
        <f t="shared" ca="1" si="0"/>
        <v>39.</v>
      </c>
      <c r="C53" s="228">
        <f t="shared" ca="1" si="1"/>
        <v>39</v>
      </c>
      <c r="D53" s="724"/>
      <c r="E53" s="724"/>
      <c r="F53" s="229">
        <f ca="1">IF(AUTOEVENTO="Manual",ROUND(SUMPRODUCT((CÁLCULO!$M$15:$M$43=EVENTOS!$C53)*(OFFSET(CÁLCULO!$AA$15,0,1):OFFSET(CÁLCULO!$AL$43,0,-1))),2),0)</f>
        <v>0</v>
      </c>
    </row>
    <row r="54" spans="2:6">
      <c r="B54" t="str">
        <f t="shared" ca="1" si="0"/>
        <v>40.</v>
      </c>
      <c r="C54" s="228">
        <f t="shared" ca="1" si="1"/>
        <v>40</v>
      </c>
      <c r="D54" s="724"/>
      <c r="E54" s="724"/>
      <c r="F54" s="229">
        <f ca="1">IF(AUTOEVENTO="Manual",ROUND(SUMPRODUCT((CÁLCULO!$M$15:$M$43=EVENTOS!$C54)*(OFFSET(CÁLCULO!$AA$15,0,1):OFFSET(CÁLCULO!$AL$43,0,-1))),2),0)</f>
        <v>0</v>
      </c>
    </row>
    <row r="55" spans="2:6">
      <c r="B55" t="str">
        <f t="shared" ca="1" si="0"/>
        <v>41.</v>
      </c>
      <c r="C55" s="228">
        <f t="shared" ca="1" si="1"/>
        <v>41</v>
      </c>
      <c r="D55" s="724"/>
      <c r="E55" s="724"/>
      <c r="F55" s="229">
        <f ca="1">IF(AUTOEVENTO="Manual",ROUND(SUMPRODUCT((CÁLCULO!$M$15:$M$43=EVENTOS!$C55)*(OFFSET(CÁLCULO!$AA$15,0,1):OFFSET(CÁLCULO!$AL$43,0,-1))),2),0)</f>
        <v>0</v>
      </c>
    </row>
    <row r="56" spans="2:6">
      <c r="B56" t="str">
        <f t="shared" ca="1" si="0"/>
        <v>42.</v>
      </c>
      <c r="C56" s="228">
        <f t="shared" ca="1" si="1"/>
        <v>42</v>
      </c>
      <c r="D56" s="724"/>
      <c r="E56" s="724"/>
      <c r="F56" s="229">
        <f ca="1">IF(AUTOEVENTO="Manual",ROUND(SUMPRODUCT((CÁLCULO!$M$15:$M$43=EVENTOS!$C56)*(OFFSET(CÁLCULO!$AA$15,0,1):OFFSET(CÁLCULO!$AL$43,0,-1))),2),0)</f>
        <v>0</v>
      </c>
    </row>
    <row r="57" spans="2:6">
      <c r="B57" t="str">
        <f t="shared" ca="1" si="0"/>
        <v>43.</v>
      </c>
      <c r="C57" s="228">
        <f t="shared" ca="1" si="1"/>
        <v>43</v>
      </c>
      <c r="D57" s="724"/>
      <c r="E57" s="724"/>
      <c r="F57" s="229">
        <f ca="1">IF(AUTOEVENTO="Manual",ROUND(SUMPRODUCT((CÁLCULO!$M$15:$M$43=EVENTOS!$C57)*(OFFSET(CÁLCULO!$AA$15,0,1):OFFSET(CÁLCULO!$AL$43,0,-1))),2),0)</f>
        <v>0</v>
      </c>
    </row>
    <row r="58" spans="2:6">
      <c r="B58" t="str">
        <f t="shared" ca="1" si="0"/>
        <v>44.</v>
      </c>
      <c r="C58" s="228">
        <f t="shared" ca="1" si="1"/>
        <v>44</v>
      </c>
      <c r="D58" s="724"/>
      <c r="E58" s="724"/>
      <c r="F58" s="229">
        <f ca="1">IF(AUTOEVENTO="Manual",ROUND(SUMPRODUCT((CÁLCULO!$M$15:$M$43=EVENTOS!$C58)*(OFFSET(CÁLCULO!$AA$15,0,1):OFFSET(CÁLCULO!$AL$43,0,-1))),2),0)</f>
        <v>0</v>
      </c>
    </row>
    <row r="59" spans="2:6">
      <c r="B59" t="str">
        <f t="shared" ca="1" si="0"/>
        <v>45.</v>
      </c>
      <c r="C59" s="228">
        <f t="shared" ca="1" si="1"/>
        <v>45</v>
      </c>
      <c r="D59" s="724"/>
      <c r="E59" s="724"/>
      <c r="F59" s="229">
        <f ca="1">IF(AUTOEVENTO="Manual",ROUND(SUMPRODUCT((CÁLCULO!$M$15:$M$43=EVENTOS!$C59)*(OFFSET(CÁLCULO!$AA$15,0,1):OFFSET(CÁLCULO!$AL$43,0,-1))),2),0)</f>
        <v>0</v>
      </c>
    </row>
    <row r="60" spans="2:6">
      <c r="B60" t="str">
        <f t="shared" ca="1" si="0"/>
        <v>46.</v>
      </c>
      <c r="C60" s="228">
        <f t="shared" ca="1" si="1"/>
        <v>46</v>
      </c>
      <c r="D60" s="724"/>
      <c r="E60" s="724"/>
      <c r="F60" s="229">
        <f ca="1">IF(AUTOEVENTO="Manual",ROUND(SUMPRODUCT((CÁLCULO!$M$15:$M$43=EVENTOS!$C60)*(OFFSET(CÁLCULO!$AA$15,0,1):OFFSET(CÁLCULO!$AL$43,0,-1))),2),0)</f>
        <v>0</v>
      </c>
    </row>
    <row r="61" spans="2:6">
      <c r="B61" t="str">
        <f t="shared" ca="1" si="0"/>
        <v>47.</v>
      </c>
      <c r="C61" s="228">
        <f t="shared" ca="1" si="1"/>
        <v>47</v>
      </c>
      <c r="D61" s="724"/>
      <c r="E61" s="724"/>
      <c r="F61" s="229">
        <f ca="1">IF(AUTOEVENTO="Manual",ROUND(SUMPRODUCT((CÁLCULO!$M$15:$M$43=EVENTOS!$C61)*(OFFSET(CÁLCULO!$AA$15,0,1):OFFSET(CÁLCULO!$AL$43,0,-1))),2),0)</f>
        <v>0</v>
      </c>
    </row>
    <row r="62" spans="2:6">
      <c r="B62" t="str">
        <f t="shared" ca="1" si="0"/>
        <v>48.</v>
      </c>
      <c r="C62" s="228">
        <f t="shared" ca="1" si="1"/>
        <v>48</v>
      </c>
      <c r="D62" s="724"/>
      <c r="E62" s="724"/>
      <c r="F62" s="229">
        <f ca="1">IF(AUTOEVENTO="Manual",ROUND(SUMPRODUCT((CÁLCULO!$M$15:$M$43=EVENTOS!$C62)*(OFFSET(CÁLCULO!$AA$15,0,1):OFFSET(CÁLCULO!$AL$43,0,-1))),2),0)</f>
        <v>0</v>
      </c>
    </row>
    <row r="63" spans="2:6">
      <c r="B63" t="str">
        <f t="shared" ca="1" si="0"/>
        <v>49.</v>
      </c>
      <c r="C63" s="228">
        <f t="shared" ca="1" si="1"/>
        <v>49</v>
      </c>
      <c r="D63" s="724"/>
      <c r="E63" s="724"/>
      <c r="F63" s="229">
        <f ca="1">IF(AUTOEVENTO="Manual",ROUND(SUMPRODUCT((CÁLCULO!$M$15:$M$43=EVENTOS!$C63)*(OFFSET(CÁLCULO!$AA$15,0,1):OFFSET(CÁLCULO!$AL$43,0,-1))),2),0)</f>
        <v>0</v>
      </c>
    </row>
    <row r="64" spans="2:6">
      <c r="B64" t="str">
        <f t="shared" ca="1" si="0"/>
        <v>50.</v>
      </c>
      <c r="C64" s="228">
        <f t="shared" ca="1" si="1"/>
        <v>50</v>
      </c>
      <c r="D64" s="724"/>
      <c r="E64" s="724"/>
      <c r="F64" s="229">
        <f ca="1">IF(AUTOEVENTO="Manual",ROUND(SUMPRODUCT((CÁLCULO!$M$15:$M$43=EVENTOS!$C64)*(OFFSET(CÁLCULO!$AA$15,0,1):OFFSET(CÁLCULO!$AL$43,0,-1))),2),0)</f>
        <v>0</v>
      </c>
    </row>
    <row r="65" spans="3:6" ht="5.0999999999999996" customHeight="1">
      <c r="C65" s="221"/>
      <c r="D65" s="232"/>
      <c r="E65" s="232"/>
      <c r="F65" s="233"/>
    </row>
  </sheetData>
  <sheetProtection sheet="1" objects="1" scenarios="1" autoFilter="0"/>
  <mergeCells count="54">
    <mergeCell ref="D62:E62"/>
    <mergeCell ref="D63:E63"/>
    <mergeCell ref="D64:E64"/>
    <mergeCell ref="D44:E44"/>
    <mergeCell ref="D45:E45"/>
    <mergeCell ref="D46:E46"/>
    <mergeCell ref="D56:E56"/>
    <mergeCell ref="D57:E57"/>
    <mergeCell ref="D58:E58"/>
    <mergeCell ref="D59:E59"/>
    <mergeCell ref="D51:E51"/>
    <mergeCell ref="D49:E49"/>
    <mergeCell ref="D50:E50"/>
    <mergeCell ref="D48:E48"/>
    <mergeCell ref="C6:F6"/>
    <mergeCell ref="C9:F11"/>
    <mergeCell ref="D13:E13"/>
    <mergeCell ref="D14:E14"/>
    <mergeCell ref="D19:E19"/>
    <mergeCell ref="D15:E15"/>
    <mergeCell ref="D16:E16"/>
    <mergeCell ref="D17:E17"/>
    <mergeCell ref="D18:E18"/>
    <mergeCell ref="D26:E26"/>
    <mergeCell ref="D27:E27"/>
    <mergeCell ref="D30:E30"/>
    <mergeCell ref="D33:E33"/>
    <mergeCell ref="D21:E21"/>
    <mergeCell ref="D22:E22"/>
    <mergeCell ref="D34:E34"/>
    <mergeCell ref="D47:E47"/>
    <mergeCell ref="D42:E42"/>
    <mergeCell ref="D20:E20"/>
    <mergeCell ref="D23:E23"/>
    <mergeCell ref="D24:E24"/>
    <mergeCell ref="D25:E25"/>
    <mergeCell ref="D28:E28"/>
    <mergeCell ref="D29:E29"/>
    <mergeCell ref="D31:E31"/>
    <mergeCell ref="D32:E32"/>
    <mergeCell ref="D35:E35"/>
    <mergeCell ref="D36:E36"/>
    <mergeCell ref="D37:E37"/>
    <mergeCell ref="D38:E38"/>
    <mergeCell ref="D39:E39"/>
    <mergeCell ref="D40:E40"/>
    <mergeCell ref="D61:E61"/>
    <mergeCell ref="D52:E52"/>
    <mergeCell ref="D53:E53"/>
    <mergeCell ref="D54:E54"/>
    <mergeCell ref="D55:E55"/>
    <mergeCell ref="D60:E60"/>
    <mergeCell ref="D41:E41"/>
    <mergeCell ref="D43:E43"/>
  </mergeCells>
  <phoneticPr fontId="37" type="noConversion"/>
  <conditionalFormatting sqref="C13:F15 C65:F65">
    <cfRule type="expression" dxfId="102" priority="112" stopIfTrue="1">
      <formula>OR(AUTOEVENTO&lt;&gt;"Manual",ACOMPANHAMENTO="BM")</formula>
    </cfRule>
  </conditionalFormatting>
  <conditionalFormatting sqref="C16:F24">
    <cfRule type="expression" dxfId="101" priority="6" stopIfTrue="1">
      <formula>OR(AUTOEVENTO&lt;&gt;"Manual",ACOMPANHAMENTO="BM")</formula>
    </cfRule>
  </conditionalFormatting>
  <conditionalFormatting sqref="C25:F33">
    <cfRule type="expression" dxfId="100" priority="5" stopIfTrue="1">
      <formula>OR(AUTOEVENTO&lt;&gt;"Manual",ACOMPANHAMENTO="BM")</formula>
    </cfRule>
  </conditionalFormatting>
  <conditionalFormatting sqref="C34:F42">
    <cfRule type="expression" dxfId="99" priority="4" stopIfTrue="1">
      <formula>OR(AUTOEVENTO&lt;&gt;"Manual",ACOMPANHAMENTO="BM")</formula>
    </cfRule>
  </conditionalFormatting>
  <conditionalFormatting sqref="C43:F51">
    <cfRule type="expression" dxfId="98" priority="3" stopIfTrue="1">
      <formula>OR(AUTOEVENTO&lt;&gt;"Manual",ACOMPANHAMENTO="BM")</formula>
    </cfRule>
  </conditionalFormatting>
  <conditionalFormatting sqref="C52:F60">
    <cfRule type="expression" dxfId="97" priority="2" stopIfTrue="1">
      <formula>OR(AUTOEVENTO&lt;&gt;"Manual",ACOMPANHAMENTO="BM")</formula>
    </cfRule>
  </conditionalFormatting>
  <conditionalFormatting sqref="C61:F64">
    <cfRule type="expression" dxfId="96" priority="1" stopIfTrue="1">
      <formula>OR(AUTOEVENTO&lt;&gt;"Manual",ACOMPANHAMENTO="BM")</formula>
    </cfRule>
  </conditionalFormatting>
  <dataValidations count="1">
    <dataValidation type="list" allowBlank="1" showErrorMessage="1" sqref="C6">
      <formula1>"Automática, conforme os agrupadores Nível 2 do Orçamento,Automática, conforme os agrupadores Nível 3 do Orçamento,Automática, conforme os agrupadores Nível 4 do Orçamento,Definir Manualmente"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90" firstPageNumber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Plan9" filterMode="1"/>
  <dimension ref="A1:AF33"/>
  <sheetViews>
    <sheetView showGridLines="0" zoomScale="90" zoomScaleNormal="90" zoomScaleSheetLayoutView="90" workbookViewId="0">
      <pane xSplit="19" ySplit="13" topLeftCell="T14" activePane="bottomRight" state="frozen"/>
      <selection activeCell="F4" sqref="F4"/>
      <selection pane="topRight" activeCell="T4" sqref="T4"/>
      <selection pane="bottomLeft" activeCell="F14" sqref="F14"/>
      <selection pane="bottomRight" activeCell="U17" sqref="U17"/>
    </sheetView>
  </sheetViews>
  <sheetFormatPr defaultColWidth="9.140625" defaultRowHeight="12.75"/>
  <cols>
    <col min="1" max="3" width="9.140625" style="234" hidden="1" customWidth="1"/>
    <col min="4" max="4" width="11" style="235" hidden="1" customWidth="1"/>
    <col min="5" max="5" width="19" style="234" hidden="1" customWidth="1"/>
    <col min="6" max="6" width="3.7109375" style="235" customWidth="1"/>
    <col min="7" max="7" width="12.7109375" style="234" customWidth="1"/>
    <col min="8" max="8" width="7.140625" style="235" customWidth="1"/>
    <col min="9" max="9" width="14.5703125" style="235" customWidth="1"/>
    <col min="10" max="10" width="12" style="235" customWidth="1"/>
    <col min="11" max="11" width="11" style="235" customWidth="1"/>
    <col min="12" max="17" width="0" style="234" hidden="1" customWidth="1"/>
    <col min="18" max="18" width="11.42578125" style="236" customWidth="1"/>
    <col min="19" max="19" width="10.7109375" style="236" customWidth="1"/>
    <col min="20" max="31" width="11" style="235" customWidth="1"/>
    <col min="32" max="32" width="0.140625" style="235" customWidth="1"/>
    <col min="33" max="16384" width="9.140625" style="235"/>
  </cols>
  <sheetData>
    <row r="1" spans="1:32" hidden="1">
      <c r="A1" s="234" t="e">
        <f ca="1">OFFSET(A1,-3,0)+1</f>
        <v>#REF!</v>
      </c>
      <c r="B1" s="234" t="e">
        <f ca="1">IF($Q1&lt;&gt;2,0,IF($R1=0,1,IF(E2&gt;0,OFFSET(QCI!$M$13,SUBSTITUTE(E2,".",""),0),OFFSET(ORÇAMENTO!$AA$15,CRONO!$E1,0))/$R1))</f>
        <v>#REF!</v>
      </c>
      <c r="C1" s="234" t="e">
        <f ca="1">IF($Q1&lt;&gt;2,0,IF($R1=0,1,IF(E2&gt;0,OFFSET(QCI!$N$13,SUBSTITUTE(E2,".",""),0),OFFSET(ORÇAMENTO!$AB$15,CRONO!$E1,0))/$R1))</f>
        <v>#REF!</v>
      </c>
      <c r="D1" s="237" t="e">
        <f ca="1">IF(AND($Q1=2,ACOMPANHAMENTO="BM"),D2,D3/$R1)</f>
        <v>#REF!</v>
      </c>
      <c r="E1" s="234" t="e">
        <f ca="1">IF(A1&lt;=ORÇAMENTO.MáximoListaCrono,MATCH(A1,ORÇAMENTO.ListaCrono,0),NA())</f>
        <v>#REF!</v>
      </c>
      <c r="F1" s="234" t="e">
        <f ca="1">IF(AND($E2&lt;&gt;-1,$R1&gt;0),"F","")</f>
        <v>#REF!</v>
      </c>
      <c r="G1" s="238" t="e">
        <f ca="1">IF(OR(R1=0,R1=""),"Linha",IF(AND(OR(ACOMPANHAMENTO="PLE",$Q1&lt;&gt;2),$E2=0),"Linha",1-SUM(T1:AF1)))</f>
        <v>#REF!</v>
      </c>
      <c r="H1" s="239" t="e">
        <f ca="1">IF($E2=0,OFFSET(ORÇAMENTO!O$15,$E1,0),IF($E2&lt;&gt;-1,OFFSET(QCI!$D$13,$E2,0),""))</f>
        <v>#REF!</v>
      </c>
      <c r="I1" s="240" t="e">
        <f ca="1">IF($E2=0,OFFSET(ORÇAMENTO!R$15,$E1,0),IF($E2&lt;&gt;-1,OFFSET(QCI!$G$13,$E2,0),""))</f>
        <v>#REF!</v>
      </c>
      <c r="J1" s="240"/>
      <c r="K1" s="240"/>
      <c r="L1" s="241" t="e">
        <f ca="1">IF($E2=0,OFFSET(ORÇAMENTO!C$15,$E1,0),1)</f>
        <v>#REF!</v>
      </c>
      <c r="M1" s="242" t="e">
        <f ca="1">IF($E2=-1,0,IF(M$13&lt;=$L1,IF(ISERROR(MATCH(M$13,OFFSET($L1,1,0,ROW($L$17)-ROW($L1)-1),0)),ROW($L$17)-ROW($L1)-1,MATCH(M$13,OFFSET($L1,1,0,ROW($L$17)-ROW($L1)-1),0)-1),0))</f>
        <v>#REF!</v>
      </c>
      <c r="N1" s="242" t="e">
        <f ca="1">IF($E2=-1,0,IF(N$13&lt;=$L1,IF(ISERROR(MATCH(N$13,OFFSET($L1,1,0,ROW($L$17)-ROW($L1)-1),0)),ROW($L$17)-ROW($L1)-1,MATCH(N$13,OFFSET($L1,1,0,ROW($L$17)-ROW($L1)-1),0)-1),0))</f>
        <v>#REF!</v>
      </c>
      <c r="O1" s="242" t="e">
        <f ca="1">IF($E2=-1,0,IF(O$13&lt;=$L1,IF(ISERROR(MATCH(O$13,OFFSET($L1,1,0,ROW($L$17)-ROW($L1)-1),0)),ROW($L$17)-ROW($L1)-1,MATCH(O$13,OFFSET($L1,1,0,ROW($L$17)-ROW($L1)-1),0)-1),0))</f>
        <v>#REF!</v>
      </c>
      <c r="P1" s="242" t="e">
        <f ca="1">IF($E2=-1,0,IF(P$13&lt;=$L1,IF(ISERROR(MATCH(P$13,OFFSET($L1,1,0,ROW($L$17)-ROW($L1)-1),0)),ROW($L$17)-ROW($L1)-1,MATCH(P$13,OFFSET($L1,1,0,ROW($L$17)-ROW($L1)-1),0)-1),0))</f>
        <v>#REF!</v>
      </c>
      <c r="Q1" s="242" t="e">
        <f ca="1">MIN(OFFSET(L1,0,1,,L1))</f>
        <v>#REF!</v>
      </c>
      <c r="R1" s="243" t="e">
        <f ca="1">IF($E2=0,OFFSET(ORÇAMENTO!X$15,$E1,0),IF($E2&lt;&gt;-1,OFFSET(QCI!$O$13,$E2,0),""))</f>
        <v>#REF!</v>
      </c>
      <c r="S1" s="244" t="s">
        <v>270</v>
      </c>
      <c r="T1" s="245" t="e">
        <f t="shared" ref="T1:AE1" ca="1" si="0">IF(AND($Q1=2,ACOMPANHAMENTO="BM"),T2,T3/$R1)</f>
        <v>#REF!</v>
      </c>
      <c r="U1" s="237" t="e">
        <f t="shared" ca="1" si="0"/>
        <v>#REF!</v>
      </c>
      <c r="V1" s="237" t="e">
        <f t="shared" ca="1" si="0"/>
        <v>#REF!</v>
      </c>
      <c r="W1" s="237" t="e">
        <f t="shared" ca="1" si="0"/>
        <v>#REF!</v>
      </c>
      <c r="X1" s="237" t="e">
        <f t="shared" ca="1" si="0"/>
        <v>#REF!</v>
      </c>
      <c r="Y1" s="237" t="e">
        <f t="shared" ca="1" si="0"/>
        <v>#REF!</v>
      </c>
      <c r="Z1" s="237" t="e">
        <f t="shared" ca="1" si="0"/>
        <v>#REF!</v>
      </c>
      <c r="AA1" s="237" t="e">
        <f t="shared" ca="1" si="0"/>
        <v>#REF!</v>
      </c>
      <c r="AB1" s="237" t="e">
        <f t="shared" ca="1" si="0"/>
        <v>#REF!</v>
      </c>
      <c r="AC1" s="237" t="e">
        <f t="shared" ca="1" si="0"/>
        <v>#REF!</v>
      </c>
      <c r="AD1" s="237" t="e">
        <f t="shared" ca="1" si="0"/>
        <v>#REF!</v>
      </c>
      <c r="AE1" s="246" t="e">
        <f t="shared" ca="1" si="0"/>
        <v>#REF!</v>
      </c>
    </row>
    <row r="2" spans="1:32" ht="12.75" hidden="1" customHeight="1">
      <c r="D2" s="653"/>
      <c r="E2" s="234" t="e">
        <f ca="1">IF(ISERROR(E1),IF(1+COUNTIF($L$13:OFFSET(L1,-1,0),1)&lt;=MAX(QCI!$D$13:$D$24),1+COUNTIF($L$13:OFFSET(L1,-1,0),1),-1),0)</f>
        <v>#REF!</v>
      </c>
      <c r="F2" s="234" t="e">
        <f ca="1">IF(AND($E2&lt;&gt;-1,$R1&gt;0),"F","")</f>
        <v>#REF!</v>
      </c>
      <c r="G2" s="247" t="e">
        <f ca="1">IF(OR(R1=0,R1=""),"vazia",IF(AND(OR(ACOMPANHAMENTO="PLE",$Q1&lt;&gt;2),$E2=0),"calculada","--&gt;"))</f>
        <v>#REF!</v>
      </c>
      <c r="H2" s="248"/>
      <c r="I2" s="249" t="e">
        <f ca="1">IF(AND(G1&lt;&gt;0,ISNUMBER(G1)),"PREENCHA ESTA LINHA --&gt;","")</f>
        <v>#REF!</v>
      </c>
      <c r="J2" s="249"/>
      <c r="K2" s="249"/>
      <c r="L2" s="250"/>
      <c r="M2" s="250"/>
      <c r="N2" s="250"/>
      <c r="O2" s="250"/>
      <c r="P2" s="250"/>
      <c r="Q2" s="250"/>
      <c r="R2" s="251"/>
      <c r="S2" s="252"/>
      <c r="T2" s="654"/>
      <c r="U2" s="653"/>
      <c r="V2" s="653"/>
      <c r="W2" s="653"/>
      <c r="X2" s="653"/>
      <c r="Y2" s="653"/>
      <c r="Z2" s="653"/>
      <c r="AA2" s="653"/>
      <c r="AB2" s="653"/>
      <c r="AC2" s="653"/>
      <c r="AD2" s="653"/>
      <c r="AE2" s="655"/>
      <c r="AF2" s="613"/>
    </row>
    <row r="3" spans="1:32" ht="0.2" hidden="1" customHeight="1">
      <c r="D3" s="253" t="e">
        <f ca="1">IF($Q1=2,IF(AND(ACOMPANHAMENTO="PLE",ISNUMBER($E1)),SUMIF((OFFSET(CÁLCULO!$AM$15:$AW$15,$E1,0,OFFSET(ORÇAMENTO!$D$15,CRONO!$E1,0))),"="&amp;CRONO!D$12,OFFSET(CÁLCULO!$AB$15:$AL$15,$E1,0,OFFSET(ORÇAMENTO!$D$15,CRONO!$E1,0)))+IF(AND($E3&lt;&gt;"",$E3&lt;&gt;0),SUMIF(CÁLCULO!$AM$15:$AW$43,"="&amp;CRONO!D$12,CÁLCULO!$AB$15:$AL$43)/(ORÇAMENTO!$X$15-CÁLCULO.TotalAdmLocal)*CRONO!$E3,0),D2*$R1),SUMIF(OFFSET($R3,1,0,$Q1-2),($L1+1)&amp;"$",OFFSET(D3,1,0,$Q1-2)))</f>
        <v>#REF!</v>
      </c>
      <c r="E3" s="234" t="e">
        <f ca="1">IF(OR($Q1&lt;&gt;2,AUTOEVENTO&lt;&gt;"manual",$E2&gt;0),"",SUMIF(OFFSET(CÁLCULO!$M$15,CRONO!$E1,0,OFFSET(ORÇAMENTO!$D$15,CRONO!$E1,0)),1,OFFSET(ORÇAMENTO!$X$15,CRONO!$E1,0,OFFSET(ORÇAMENTO!$D$15,CRONO!$E1,0))))</f>
        <v>#REF!</v>
      </c>
      <c r="G3" s="254"/>
      <c r="R3" s="255" t="e">
        <f ca="1">L1&amp;"$"</f>
        <v>#REF!</v>
      </c>
      <c r="S3" s="256"/>
      <c r="T3" s="257" t="e">
        <f ca="1">IF($Q1=2,IF(AND(ACOMPANHAMENTO="PLE",ISNUMBER($E1)),SUMIF((OFFSET(CÁLCULO!$AM$15:$AW$15,$E1,0,OFFSET(ORÇAMENTO!$D$15,CRONO!$E1,0))),"&lt;="&amp;CRONO!T$12,OFFSET(CÁLCULO!$AB$15:$AL$15,$E1,0,OFFSET(ORÇAMENTO!$D$15,CRONO!$E1,0)))+IF(AND($E3&lt;&gt;"",$E3&lt;&gt;0),SUMIF(CÁLCULO!$AM$15:$AW$43,"&lt;="&amp;CRONO!T$12,CÁLCULO!$AB$15:$AL$43)/(ORÇAMENTO!$X$15-CÁLCULO.TotalAdmLocal)*CRONO!$E3,0),T2*$R1),SUMIF(OFFSET($R3,1,0,$Q1-2),($L1+1)&amp;"$",OFFSET(T3,1,0,$Q1-2)))</f>
        <v>#REF!</v>
      </c>
      <c r="U3" s="253" t="e">
        <f ca="1">IF($Q1=2,IF(AND(ACOMPANHAMENTO="PLE",ISNUMBER($E1)),SUMIF((OFFSET(CÁLCULO!$AM$15:$AW$15,$E1,0,OFFSET(ORÇAMENTO!$D$15,CRONO!$E1,0))),"="&amp;CRONO!U$12,OFFSET(CÁLCULO!$AB$15:$AL$15,$E1,0,OFFSET(ORÇAMENTO!$D$15,CRONO!$E1,0)))+IF(AND($E3&lt;&gt;"",$E3&lt;&gt;0),SUMIF(CÁLCULO!$AM$15:$AW$43,"="&amp;CRONO!U$12,CÁLCULO!$AB$15:$AL$43)/(ORÇAMENTO!$X$15-CÁLCULO.TotalAdmLocal)*CRONO!$E3,0),U2*$R1),SUMIF(OFFSET($R3,1,0,$Q1-2),($L1+1)&amp;"$",OFFSET(U3,1,0,$Q1-2)))</f>
        <v>#REF!</v>
      </c>
      <c r="V3" s="253" t="e">
        <f ca="1">IF($Q1=2,IF(AND(ACOMPANHAMENTO="PLE",ISNUMBER($E1)),SUMIF((OFFSET(CÁLCULO!$AM$15:$AW$15,$E1,0,OFFSET(ORÇAMENTO!$D$15,CRONO!$E1,0))),"="&amp;CRONO!V$12,OFFSET(CÁLCULO!$AB$15:$AL$15,$E1,0,OFFSET(ORÇAMENTO!$D$15,CRONO!$E1,0)))+IF(AND($E3&lt;&gt;"",$E3&lt;&gt;0),SUMIF(CÁLCULO!$AM$15:$AW$43,"="&amp;CRONO!V$12,CÁLCULO!$AB$15:$AL$43)/(ORÇAMENTO!$X$15-CÁLCULO.TotalAdmLocal)*CRONO!$E3,0),V2*$R1),SUMIF(OFFSET($R3,1,0,$Q1-2),($L1+1)&amp;"$",OFFSET(V3,1,0,$Q1-2)))</f>
        <v>#REF!</v>
      </c>
      <c r="W3" s="253" t="e">
        <f ca="1">IF($Q1=2,IF(AND(ACOMPANHAMENTO="PLE",ISNUMBER($E1)),SUMIF((OFFSET(CÁLCULO!$AM$15:$AW$15,$E1,0,OFFSET(ORÇAMENTO!$D$15,CRONO!$E1,0))),"="&amp;CRONO!W$12,OFFSET(CÁLCULO!$AB$15:$AL$15,$E1,0,OFFSET(ORÇAMENTO!$D$15,CRONO!$E1,0)))+IF(AND($E3&lt;&gt;"",$E3&lt;&gt;0),SUMIF(CÁLCULO!$AM$15:$AW$43,"="&amp;CRONO!W$12,CÁLCULO!$AB$15:$AL$43)/(ORÇAMENTO!$X$15-CÁLCULO.TotalAdmLocal)*CRONO!$E3,0),W2*$R1),SUMIF(OFFSET($R3,1,0,$Q1-2),($L1+1)&amp;"$",OFFSET(W3,1,0,$Q1-2)))</f>
        <v>#REF!</v>
      </c>
      <c r="X3" s="253" t="e">
        <f ca="1">IF($Q1=2,IF(AND(ACOMPANHAMENTO="PLE",ISNUMBER($E1)),SUMIF((OFFSET(CÁLCULO!$AM$15:$AW$15,$E1,0,OFFSET(ORÇAMENTO!$D$15,CRONO!$E1,0))),"="&amp;CRONO!X$12,OFFSET(CÁLCULO!$AB$15:$AL$15,$E1,0,OFFSET(ORÇAMENTO!$D$15,CRONO!$E1,0)))+IF(AND($E3&lt;&gt;"",$E3&lt;&gt;0),SUMIF(CÁLCULO!$AM$15:$AW$43,"="&amp;CRONO!X$12,CÁLCULO!$AB$15:$AL$43)/(ORÇAMENTO!$X$15-CÁLCULO.TotalAdmLocal)*CRONO!$E3,0),X2*$R1),SUMIF(OFFSET($R3,1,0,$Q1-2),($L1+1)&amp;"$",OFFSET(X3,1,0,$Q1-2)))</f>
        <v>#REF!</v>
      </c>
      <c r="Y3" s="253" t="e">
        <f ca="1">IF($Q1=2,IF(AND(ACOMPANHAMENTO="PLE",ISNUMBER($E1)),SUMIF((OFFSET(CÁLCULO!$AM$15:$AW$15,$E1,0,OFFSET(ORÇAMENTO!$D$15,CRONO!$E1,0))),"="&amp;CRONO!Y$12,OFFSET(CÁLCULO!$AB$15:$AL$15,$E1,0,OFFSET(ORÇAMENTO!$D$15,CRONO!$E1,0)))+IF(AND($E3&lt;&gt;"",$E3&lt;&gt;0),SUMIF(CÁLCULO!$AM$15:$AW$43,"="&amp;CRONO!Y$12,CÁLCULO!$AB$15:$AL$43)/(ORÇAMENTO!$X$15-CÁLCULO.TotalAdmLocal)*CRONO!$E3,0),Y2*$R1),SUMIF(OFFSET($R3,1,0,$Q1-2),($L1+1)&amp;"$",OFFSET(Y3,1,0,$Q1-2)))</f>
        <v>#REF!</v>
      </c>
      <c r="Z3" s="253" t="e">
        <f ca="1">IF($Q1=2,IF(AND(ACOMPANHAMENTO="PLE",ISNUMBER($E1)),SUMIF((OFFSET(CÁLCULO!$AM$15:$AW$15,$E1,0,OFFSET(ORÇAMENTO!$D$15,CRONO!$E1,0))),"="&amp;CRONO!Z$12,OFFSET(CÁLCULO!$AB$15:$AL$15,$E1,0,OFFSET(ORÇAMENTO!$D$15,CRONO!$E1,0)))+IF(AND($E3&lt;&gt;"",$E3&lt;&gt;0),SUMIF(CÁLCULO!$AM$15:$AW$43,"="&amp;CRONO!Z$12,CÁLCULO!$AB$15:$AL$43)/(ORÇAMENTO!$X$15-CÁLCULO.TotalAdmLocal)*CRONO!$E3,0),Z2*$R1),SUMIF(OFFSET($R3,1,0,$Q1-2),($L1+1)&amp;"$",OFFSET(Z3,1,0,$Q1-2)))</f>
        <v>#REF!</v>
      </c>
      <c r="AA3" s="253" t="e">
        <f ca="1">IF($Q1=2,IF(AND(ACOMPANHAMENTO="PLE",ISNUMBER($E1)),SUMIF((OFFSET(CÁLCULO!$AM$15:$AW$15,$E1,0,OFFSET(ORÇAMENTO!$D$15,CRONO!$E1,0))),"="&amp;CRONO!AA$12,OFFSET(CÁLCULO!$AB$15:$AL$15,$E1,0,OFFSET(ORÇAMENTO!$D$15,CRONO!$E1,0)))+IF(AND($E3&lt;&gt;"",$E3&lt;&gt;0),SUMIF(CÁLCULO!$AM$15:$AW$43,"="&amp;CRONO!AA$12,CÁLCULO!$AB$15:$AL$43)/(ORÇAMENTO!$X$15-CÁLCULO.TotalAdmLocal)*CRONO!$E3,0),AA2*$R1),SUMIF(OFFSET($R3,1,0,$Q1-2),($L1+1)&amp;"$",OFFSET(AA3,1,0,$Q1-2)))</f>
        <v>#REF!</v>
      </c>
      <c r="AB3" s="253" t="e">
        <f ca="1">IF($Q1=2,IF(AND(ACOMPANHAMENTO="PLE",ISNUMBER($E1)),SUMIF((OFFSET(CÁLCULO!$AM$15:$AW$15,$E1,0,OFFSET(ORÇAMENTO!$D$15,CRONO!$E1,0))),"="&amp;CRONO!AB$12,OFFSET(CÁLCULO!$AB$15:$AL$15,$E1,0,OFFSET(ORÇAMENTO!$D$15,CRONO!$E1,0)))+IF(AND($E3&lt;&gt;"",$E3&lt;&gt;0),SUMIF(CÁLCULO!$AM$15:$AW$43,"="&amp;CRONO!AB$12,CÁLCULO!$AB$15:$AL$43)/(ORÇAMENTO!$X$15-CÁLCULO.TotalAdmLocal)*CRONO!$E3,0),AB2*$R1),SUMIF(OFFSET($R3,1,0,$Q1-2),($L1+1)&amp;"$",OFFSET(AB3,1,0,$Q1-2)))</f>
        <v>#REF!</v>
      </c>
      <c r="AC3" s="253" t="e">
        <f ca="1">IF($Q1=2,IF(AND(ACOMPANHAMENTO="PLE",ISNUMBER($E1)),SUMIF((OFFSET(CÁLCULO!$AM$15:$AW$15,$E1,0,OFFSET(ORÇAMENTO!$D$15,CRONO!$E1,0))),"="&amp;CRONO!AC$12,OFFSET(CÁLCULO!$AB$15:$AL$15,$E1,0,OFFSET(ORÇAMENTO!$D$15,CRONO!$E1,0)))+IF(AND($E3&lt;&gt;"",$E3&lt;&gt;0),SUMIF(CÁLCULO!$AM$15:$AW$43,"="&amp;CRONO!AC$12,CÁLCULO!$AB$15:$AL$43)/(ORÇAMENTO!$X$15-CÁLCULO.TotalAdmLocal)*CRONO!$E3,0),AC2*$R1),SUMIF(OFFSET($R3,1,0,$Q1-2),($L1+1)&amp;"$",OFFSET(AC3,1,0,$Q1-2)))</f>
        <v>#REF!</v>
      </c>
      <c r="AD3" s="253" t="e">
        <f ca="1">IF($Q1=2,IF(AND(ACOMPANHAMENTO="PLE",ISNUMBER($E1)),SUMIF((OFFSET(CÁLCULO!$AM$15:$AW$15,$E1,0,OFFSET(ORÇAMENTO!$D$15,CRONO!$E1,0))),"="&amp;CRONO!AD$12,OFFSET(CÁLCULO!$AB$15:$AL$15,$E1,0,OFFSET(ORÇAMENTO!$D$15,CRONO!$E1,0)))+IF(AND($E3&lt;&gt;"",$E3&lt;&gt;0),SUMIF(CÁLCULO!$AM$15:$AW$43,"="&amp;CRONO!AD$12,CÁLCULO!$AB$15:$AL$43)/(ORÇAMENTO!$X$15-CÁLCULO.TotalAdmLocal)*CRONO!$E3,0),AD2*$R1),SUMIF(OFFSET($R3,1,0,$Q1-2),($L1+1)&amp;"$",OFFSET(AD3,1,0,$Q1-2)))</f>
        <v>#REF!</v>
      </c>
      <c r="AE3" s="258" t="e">
        <f ca="1">IF($Q1=2,IF(AND(ACOMPANHAMENTO="PLE",ISNUMBER($E1)),SUMIF((OFFSET(CÁLCULO!$AM$15:$AW$15,$E1,0,OFFSET(ORÇAMENTO!$D$15,CRONO!$E1,0))),"="&amp;CRONO!AE$12,OFFSET(CÁLCULO!$AB$15:$AL$15,$E1,0,OFFSET(ORÇAMENTO!$D$15,CRONO!$E1,0)))+IF(AND($E3&lt;&gt;"",$E3&lt;&gt;0),SUMIF(CÁLCULO!$AM$15:$AW$43,"="&amp;CRONO!AE$12,CÁLCULO!$AB$15:$AL$43)/(ORÇAMENTO!$X$15-CÁLCULO.TotalAdmLocal)*CRONO!$E3,0),AE2*$R1),SUMIF(OFFSET($R3,1,0,$Q1-2),($L1+1)&amp;"$",OFFSET(AE3,1,0,$Q1-2)))</f>
        <v>#REF!</v>
      </c>
    </row>
    <row r="4" spans="1:32" ht="15" customHeight="1">
      <c r="R4" s="259" t="str">
        <f>IF(TIPOORCAMENTO="licitado","CRONOGRAMA FÍSICO-FINANCEIRO LICITADO","CRONOGRAMA FÍSICO-FINANCEIRO")</f>
        <v>CRONOGRAMA FÍSICO-FINANCEIRO</v>
      </c>
      <c r="AD4" s="678" t="s">
        <v>140</v>
      </c>
      <c r="AE4" s="678"/>
    </row>
    <row r="5" spans="1:32" ht="15">
      <c r="R5" s="102" t="str">
        <f>import.recurso</f>
        <v>OGU</v>
      </c>
      <c r="AD5" s="679" t="s">
        <v>143</v>
      </c>
      <c r="AE5" s="679"/>
    </row>
    <row r="6" spans="1:32" ht="12.75" customHeight="1">
      <c r="D6" s="260"/>
      <c r="H6" s="260"/>
      <c r="I6" s="260"/>
      <c r="J6" s="260"/>
      <c r="K6" s="260"/>
      <c r="L6" s="261"/>
      <c r="M6" s="261"/>
      <c r="N6" s="261"/>
      <c r="O6" s="261"/>
      <c r="P6" s="261"/>
      <c r="Q6" s="261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</row>
    <row r="7" spans="1:32" ht="12.75" customHeight="1">
      <c r="D7" s="260"/>
      <c r="E7" s="262"/>
      <c r="G7" s="730" t="s">
        <v>271</v>
      </c>
      <c r="H7" s="263" t="s">
        <v>146</v>
      </c>
      <c r="I7" s="264"/>
      <c r="J7" s="265" t="s">
        <v>446</v>
      </c>
      <c r="K7" s="266" t="s">
        <v>272</v>
      </c>
      <c r="L7" s="260"/>
      <c r="M7" s="260"/>
      <c r="N7" s="260"/>
      <c r="O7" s="261"/>
      <c r="P7" s="261"/>
      <c r="Q7" s="261"/>
      <c r="S7" s="267"/>
      <c r="T7" s="263" t="s">
        <v>273</v>
      </c>
      <c r="U7" s="260"/>
      <c r="V7" s="260"/>
      <c r="W7" s="260"/>
      <c r="X7" s="264"/>
      <c r="Y7" s="263" t="str">
        <f>IF(TIPOORCAMENTO="Licitado","NOME DA EMPRESA","DESCRIÇÃO DO LOTE")</f>
        <v>DESCRIÇÃO DO LOTE</v>
      </c>
      <c r="Z7" s="260"/>
      <c r="AA7" s="260"/>
      <c r="AB7" s="260"/>
      <c r="AC7" s="260"/>
      <c r="AD7" s="260"/>
      <c r="AE7" s="268" t="str">
        <f>IF(TIPOORCAMENTO="Licitado","Nº CTEF","")</f>
        <v/>
      </c>
    </row>
    <row r="8" spans="1:32">
      <c r="D8" s="234"/>
      <c r="E8" s="139"/>
      <c r="F8" s="706" t="s">
        <v>209</v>
      </c>
      <c r="G8" s="730"/>
      <c r="H8" s="729" t="str">
        <f>Import.CR</f>
        <v>17405-2024</v>
      </c>
      <c r="I8" s="729"/>
      <c r="J8" s="269" t="str">
        <f>Import.TransfereGOV</f>
        <v>965783/2024</v>
      </c>
      <c r="K8" s="739" t="str">
        <f>Import.Proponente</f>
        <v>MUNICÍPIO DE PAINS</v>
      </c>
      <c r="L8" s="739"/>
      <c r="M8" s="739"/>
      <c r="N8" s="739"/>
      <c r="O8" s="739"/>
      <c r="P8" s="739"/>
      <c r="Q8" s="739"/>
      <c r="R8" s="739"/>
      <c r="S8" s="739"/>
      <c r="T8" s="729" t="str">
        <f>Import.Apelido</f>
        <v>RECAPEAMENTO DE VIA PÚBLICA</v>
      </c>
      <c r="U8" s="729"/>
      <c r="V8" s="729"/>
      <c r="W8" s="729"/>
      <c r="X8" s="729"/>
      <c r="Y8" s="736" t="str">
        <f>IF(TIPOORCAMENTO="Licitado",Import.empresa,Import.DescLote)</f>
        <v>RECAPEAMENDO DA ESTRADA MUNICIPAL SEBASTIÃO MANECA</v>
      </c>
      <c r="Z8" s="736"/>
      <c r="AA8" s="736"/>
      <c r="AB8" s="736"/>
      <c r="AC8" s="736"/>
      <c r="AD8" s="736"/>
      <c r="AE8" s="270" t="str">
        <f>IF(TIPOORCAMENTO="Licitado",Import.CTEF,"")</f>
        <v/>
      </c>
    </row>
    <row r="9" spans="1:32">
      <c r="E9" s="139"/>
      <c r="F9" s="706"/>
      <c r="G9" s="730"/>
    </row>
    <row r="10" spans="1:32">
      <c r="E10" s="262"/>
      <c r="F10" s="706"/>
      <c r="G10" s="271">
        <v>1</v>
      </c>
      <c r="J10" s="740" t="str">
        <f ca="1">IF(MAX($A$13:$A$17)&lt;CRONO.LinhasNecessarias,"ERRO: NÚMERO DE LINHAS DO CRONOGRAMA INSUFICIENTE. CLIQUE EM ATUALIZAR LINHAS.",IF(AND(ACOMPANHAMENTO="PLE",ROUND(OFFSET($AF$27,0,-1),2)=0),"CRONOGRAMA DEVE SER PREENCHIDO POR EVENTOS",IF(ROUND(OFFSET($AF$27,0,-1),2)&lt;&gt;$Q$18,"ERRO: CRONOGRAMA NÃO FECHA 100%","")))</f>
        <v/>
      </c>
      <c r="K10" s="740"/>
      <c r="L10" s="740"/>
      <c r="M10" s="740"/>
      <c r="N10" s="740"/>
      <c r="O10" s="740"/>
      <c r="P10" s="740"/>
      <c r="Q10" s="740"/>
      <c r="R10" s="740"/>
      <c r="S10" s="740"/>
    </row>
    <row r="11" spans="1:32" ht="12.75" customHeight="1">
      <c r="F11" s="706"/>
      <c r="H11" s="272"/>
      <c r="I11" s="272"/>
      <c r="J11" s="740"/>
      <c r="K11" s="740"/>
      <c r="L11" s="740"/>
      <c r="M11" s="740"/>
      <c r="N11" s="740"/>
      <c r="O11" s="740"/>
      <c r="P11" s="740"/>
      <c r="Q11" s="740"/>
      <c r="R11" s="740"/>
      <c r="S11" s="740"/>
    </row>
    <row r="12" spans="1:32" ht="12.75" customHeight="1">
      <c r="D12" s="273">
        <f ca="1">OFFSET(D12,0,-1)+1</f>
        <v>1</v>
      </c>
      <c r="F12" s="131" t="s">
        <v>217</v>
      </c>
      <c r="G12" s="732" t="s">
        <v>274</v>
      </c>
      <c r="H12" s="733" t="s">
        <v>231</v>
      </c>
      <c r="I12" s="734" t="s">
        <v>234</v>
      </c>
      <c r="J12" s="274"/>
      <c r="K12" s="274"/>
      <c r="L12" s="275"/>
      <c r="M12" s="275"/>
      <c r="N12" s="275"/>
      <c r="O12" s="275"/>
      <c r="P12" s="275"/>
      <c r="Q12" s="275"/>
      <c r="R12" s="737" t="s">
        <v>275</v>
      </c>
      <c r="S12" s="738" t="s">
        <v>276</v>
      </c>
      <c r="T12" s="276">
        <v>1</v>
      </c>
      <c r="U12" s="273">
        <f ca="1">OFFSET(U12,0,-1)+1</f>
        <v>2</v>
      </c>
      <c r="V12" s="273">
        <f t="shared" ref="V12:AE12" ca="1" si="1">OFFSET(V12,0,-1)+1</f>
        <v>3</v>
      </c>
      <c r="W12" s="273">
        <f t="shared" ca="1" si="1"/>
        <v>4</v>
      </c>
      <c r="X12" s="273">
        <f t="shared" ca="1" si="1"/>
        <v>5</v>
      </c>
      <c r="Y12" s="273">
        <f t="shared" ca="1" si="1"/>
        <v>6</v>
      </c>
      <c r="Z12" s="273">
        <f t="shared" ca="1" si="1"/>
        <v>7</v>
      </c>
      <c r="AA12" s="273">
        <f t="shared" ca="1" si="1"/>
        <v>8</v>
      </c>
      <c r="AB12" s="273">
        <f t="shared" ca="1" si="1"/>
        <v>9</v>
      </c>
      <c r="AC12" s="273">
        <f t="shared" ca="1" si="1"/>
        <v>10</v>
      </c>
      <c r="AD12" s="273">
        <f t="shared" ca="1" si="1"/>
        <v>11</v>
      </c>
      <c r="AE12" s="277">
        <f t="shared" ca="1" si="1"/>
        <v>12</v>
      </c>
    </row>
    <row r="13" spans="1:32" ht="24.95" customHeight="1">
      <c r="A13" s="278" t="s">
        <v>277</v>
      </c>
      <c r="B13" s="278" t="s">
        <v>169</v>
      </c>
      <c r="C13" s="278" t="s">
        <v>278</v>
      </c>
      <c r="D13" s="279" t="e">
        <f ca="1">OFFSET(D13,0,-1)+41-DAY(OFFSET(D13,0,-1)+40)</f>
        <v>#VALUE!</v>
      </c>
      <c r="E13" s="278" t="s">
        <v>279</v>
      </c>
      <c r="G13" s="732"/>
      <c r="H13" s="733"/>
      <c r="I13" s="734"/>
      <c r="J13" s="280"/>
      <c r="K13" s="280"/>
      <c r="L13" s="281" t="s">
        <v>229</v>
      </c>
      <c r="M13" s="281">
        <v>1</v>
      </c>
      <c r="N13" s="281">
        <v>2</v>
      </c>
      <c r="O13" s="281">
        <v>3</v>
      </c>
      <c r="P13" s="281">
        <v>4</v>
      </c>
      <c r="Q13" s="282" t="s">
        <v>280</v>
      </c>
      <c r="R13" s="737"/>
      <c r="S13" s="738"/>
      <c r="T13" s="283">
        <v>45566</v>
      </c>
      <c r="U13" s="279">
        <f ca="1">OFFSET(U13,0,-1)+41-DAY(OFFSET(U13,0,-1)+40)</f>
        <v>45597</v>
      </c>
      <c r="V13" s="279">
        <f ca="1">OFFSET(V13,0,-1)+41-DAY(OFFSET(V13,0,-1)+40)</f>
        <v>45627</v>
      </c>
      <c r="W13" s="279">
        <f t="shared" ref="W13:AE13" ca="1" si="2">OFFSET(W13,0,-1)+41-DAY(OFFSET(W13,0,-1)+40)</f>
        <v>45658</v>
      </c>
      <c r="X13" s="279">
        <f t="shared" ca="1" si="2"/>
        <v>45689</v>
      </c>
      <c r="Y13" s="279">
        <f t="shared" ca="1" si="2"/>
        <v>45717</v>
      </c>
      <c r="Z13" s="279">
        <f t="shared" ca="1" si="2"/>
        <v>45748</v>
      </c>
      <c r="AA13" s="279">
        <f t="shared" ca="1" si="2"/>
        <v>45778</v>
      </c>
      <c r="AB13" s="279">
        <f t="shared" ca="1" si="2"/>
        <v>45809</v>
      </c>
      <c r="AC13" s="279">
        <f t="shared" ca="1" si="2"/>
        <v>45839</v>
      </c>
      <c r="AD13" s="279">
        <f t="shared" ca="1" si="2"/>
        <v>45870</v>
      </c>
      <c r="AE13" s="284">
        <f t="shared" ca="1" si="2"/>
        <v>45901</v>
      </c>
    </row>
    <row r="14" spans="1:32">
      <c r="A14" s="234">
        <f ca="1">OFFSET(A14,-3,0)+1</f>
        <v>1</v>
      </c>
      <c r="B14" s="234">
        <f ca="1">IF($Q14&lt;&gt;2,0,IF($R14=0,1,IF(E15&gt;0,OFFSET(QCI!$M$13,SUBSTITUTE(E15,".",""),0),OFFSET(ORÇAMENTO!$AA$15,CRONO!$E14,0))/$R14))</f>
        <v>0</v>
      </c>
      <c r="C14" s="234">
        <f ca="1">IF($Q14&lt;&gt;2,0,IF($R14=0,1,IF(E15&gt;0,OFFSET(QCI!$N$13,SUBSTITUTE(E15,".",""),0),OFFSET(ORÇAMENTO!$AB$15,CRONO!$E14,0))/$R14))</f>
        <v>0</v>
      </c>
      <c r="D14" s="237">
        <f ca="1">IF(AND($Q14=2,ACOMPANHAMENTO="BM"),D15,D16/$R14)</f>
        <v>0</v>
      </c>
      <c r="E14" s="234">
        <f ca="1">IF(A14&lt;=ORÇAMENTO.MáximoListaCrono,MATCH(A14,ORÇAMENTO.ListaCrono,0),NA())</f>
        <v>1</v>
      </c>
      <c r="F14" s="234" t="str">
        <f ca="1">IF(AND($E15&lt;&gt;-1,$R14&gt;0),"F","")</f>
        <v>F</v>
      </c>
      <c r="G14" s="238">
        <f ca="1">IF(OR(R14=0,R14=""),"Linha",IF(AND(OR(ACOMPANHAMENTO="PLE",$Q14&lt;&gt;2),$E15=0),"Linha",1-SUM(T14:AF14)))</f>
        <v>0</v>
      </c>
      <c r="H14" s="239" t="str">
        <f ca="1">IF($E15=0,OFFSET(ORÇAMENTO!O$15,$E14,0),IF($E15&lt;&gt;-1,OFFSET(QCI!$D$13,$E15,0),""))</f>
        <v>1.</v>
      </c>
      <c r="I14" s="240" t="str">
        <f ca="1">IF($E15=0,OFFSET(ORÇAMENTO!R$15,$E14,0),IF($E15&lt;&gt;-1,OFFSET(QCI!$G$13,$E15,0),""))</f>
        <v>RECAPEAMENTO DE VIA PÚBLICA</v>
      </c>
      <c r="J14" s="240"/>
      <c r="K14" s="240"/>
      <c r="L14" s="241">
        <f ca="1">IF($E15=0,OFFSET(ORÇAMENTO!C$15,$E14,0),1)</f>
        <v>1</v>
      </c>
      <c r="M14" s="242">
        <f ca="1">IF($E15=-1,0,IF(M$13&lt;=$L14,IF(ISERROR(MATCH(M$13,OFFSET($L14,1,0,ROW($L$17)-ROW($L14)-1),0)),ROW($L$17)-ROW($L14)-1,MATCH(M$13,OFFSET($L14,1,0,ROW($L$17)-ROW($L14)-1),0)-1),0))</f>
        <v>2</v>
      </c>
      <c r="N14" s="242">
        <f ca="1">IF($E15=-1,0,IF(N$13&lt;=$L14,IF(ISERROR(MATCH(N$13,OFFSET($L14,1,0,ROW($L$17)-ROW($L14)-1),0)),ROW($L$17)-ROW($L14)-1,MATCH(N$13,OFFSET($L14,1,0,ROW($L$17)-ROW($L14)-1),0)-1),0))</f>
        <v>0</v>
      </c>
      <c r="O14" s="242">
        <f ca="1">IF($E15=-1,0,IF(O$13&lt;=$L14,IF(ISERROR(MATCH(O$13,OFFSET($L14,1,0,ROW($L$17)-ROW($L14)-1),0)),ROW($L$17)-ROW($L14)-1,MATCH(O$13,OFFSET($L14,1,0,ROW($L$17)-ROW($L14)-1),0)-1),0))</f>
        <v>0</v>
      </c>
      <c r="P14" s="242">
        <f ca="1">IF($E15=-1,0,IF(P$13&lt;=$L14,IF(ISERROR(MATCH(P$13,OFFSET($L14,1,0,ROW($L$17)-ROW($L14)-1),0)),ROW($L$17)-ROW($L14)-1,MATCH(P$13,OFFSET($L14,1,0,ROW($L$17)-ROW($L14)-1),0)-1),0))</f>
        <v>0</v>
      </c>
      <c r="Q14" s="242">
        <f ca="1">MIN(OFFSET(L14,0,1,,L14))</f>
        <v>2</v>
      </c>
      <c r="R14" s="243">
        <f ca="1">IF($E15=0,OFFSET(ORÇAMENTO!X$15,$E14,0),IF($E15&lt;&gt;-1,OFFSET(QCI!$O$13,$E15,0),""))</f>
        <v>4133.84</v>
      </c>
      <c r="S14" s="244" t="s">
        <v>270</v>
      </c>
      <c r="T14" s="245">
        <f t="shared" ref="T14:AE14" ca="1" si="3">IF(AND($Q14=2,ACOMPANHAMENTO="BM"),T15,T16/$R14)</f>
        <v>0.45</v>
      </c>
      <c r="U14" s="237">
        <f t="shared" ca="1" si="3"/>
        <v>0.55000000000000004</v>
      </c>
      <c r="V14" s="237">
        <f t="shared" ca="1" si="3"/>
        <v>0</v>
      </c>
      <c r="W14" s="237">
        <f t="shared" ca="1" si="3"/>
        <v>0</v>
      </c>
      <c r="X14" s="237">
        <f t="shared" ca="1" si="3"/>
        <v>0</v>
      </c>
      <c r="Y14" s="237">
        <f t="shared" ca="1" si="3"/>
        <v>0</v>
      </c>
      <c r="Z14" s="237">
        <f t="shared" ca="1" si="3"/>
        <v>0</v>
      </c>
      <c r="AA14" s="237">
        <f t="shared" ca="1" si="3"/>
        <v>0</v>
      </c>
      <c r="AB14" s="237">
        <f t="shared" ca="1" si="3"/>
        <v>0</v>
      </c>
      <c r="AC14" s="237">
        <f t="shared" ca="1" si="3"/>
        <v>0</v>
      </c>
      <c r="AD14" s="237">
        <f t="shared" ca="1" si="3"/>
        <v>0</v>
      </c>
      <c r="AE14" s="246">
        <f t="shared" ca="1" si="3"/>
        <v>0</v>
      </c>
    </row>
    <row r="15" spans="1:32" ht="12.75" customHeight="1">
      <c r="D15" s="653"/>
      <c r="E15" s="234">
        <f ca="1">IF(ISERROR(E14),IF(1+COUNTIF($L$13:OFFSET(L14,-1,0),1)&lt;=MAX(QCI!$D$13:$D$24),1+COUNTIF($L$13:OFFSET(L14,-1,0),1),-1),0)</f>
        <v>0</v>
      </c>
      <c r="F15" s="234" t="str">
        <f ca="1">IF(AND($E15&lt;&gt;-1,$R14&gt;0),"F","")</f>
        <v>F</v>
      </c>
      <c r="G15" s="247" t="str">
        <f ca="1">IF(OR(R14=0,R14=""),"vazia",IF(AND(OR(ACOMPANHAMENTO="PLE",$Q14&lt;&gt;2),$E15=0),"calculada","--&gt;"))</f>
        <v>--&gt;</v>
      </c>
      <c r="H15" s="248"/>
      <c r="I15" s="249" t="str">
        <f ca="1">IF(AND(G14&lt;&gt;0,ISNUMBER(G14)),"PREENCHA ESTA LINHA --&gt;","")</f>
        <v/>
      </c>
      <c r="J15" s="249"/>
      <c r="K15" s="249"/>
      <c r="L15" s="250"/>
      <c r="M15" s="250"/>
      <c r="N15" s="250"/>
      <c r="O15" s="250"/>
      <c r="P15" s="250"/>
      <c r="Q15" s="250"/>
      <c r="R15" s="251"/>
      <c r="S15" s="252"/>
      <c r="T15" s="654">
        <v>0.45</v>
      </c>
      <c r="U15" s="653">
        <v>0.55000000000000004</v>
      </c>
      <c r="V15" s="653"/>
      <c r="W15" s="653"/>
      <c r="X15" s="653"/>
      <c r="Y15" s="653"/>
      <c r="Z15" s="653"/>
      <c r="AA15" s="653"/>
      <c r="AB15" s="653"/>
      <c r="AC15" s="653"/>
      <c r="AD15" s="653"/>
      <c r="AE15" s="655"/>
      <c r="AF15" s="613"/>
    </row>
    <row r="16" spans="1:32" ht="0.2" hidden="1" customHeight="1">
      <c r="D16" s="253">
        <f ca="1">IF($Q14=2,IF(AND(ACOMPANHAMENTO="PLE",ISNUMBER($E14)),SUMIF((OFFSET(CÁLCULO!$AM$15:$AW$15,$E14,0,OFFSET(ORÇAMENTO!$D$15,CRONO!$E14,0))),"="&amp;CRONO!D$12,OFFSET(CÁLCULO!$AB$15:$AL$15,$E14,0,OFFSET(ORÇAMENTO!$D$15,CRONO!$E14,0)))+IF(AND($E16&lt;&gt;"",$E16&lt;&gt;0),SUMIF(CÁLCULO!$AM$15:$AW$43,"="&amp;CRONO!D$12,CÁLCULO!$AB$15:$AL$43)/(ORÇAMENTO!$X$15-CÁLCULO.TotalAdmLocal)*CRONO!$E16,0),D15*$R14),SUMIF(OFFSET($R16,1,0,$Q14-2),($L14+1)&amp;"$",OFFSET(D16,1,0,$Q14-2)))</f>
        <v>0</v>
      </c>
      <c r="E16" s="234" t="str">
        <f ca="1">IF(OR($Q14&lt;&gt;2,AUTOEVENTO&lt;&gt;"manual",$E15&gt;0),"",SUMIF(OFFSET(CÁLCULO!$M$15,CRONO!$E14,0,OFFSET(ORÇAMENTO!$D$15,CRONO!$E14,0)),1,OFFSET(ORÇAMENTO!$X$15,CRONO!$E14,0,OFFSET(ORÇAMENTO!$D$15,CRONO!$E14,0))))</f>
        <v/>
      </c>
      <c r="G16" s="254"/>
      <c r="R16" s="255" t="str">
        <f ca="1">L14&amp;"$"</f>
        <v>1$</v>
      </c>
      <c r="S16" s="256"/>
      <c r="T16" s="257">
        <f ca="1">IF($Q14=2,IF(AND(ACOMPANHAMENTO="PLE",ISNUMBER($E14)),SUMIF((OFFSET(CÁLCULO!$AM$15:$AW$15,$E14,0,OFFSET(ORÇAMENTO!$D$15,CRONO!$E14,0))),"&lt;="&amp;CRONO!T$12,OFFSET(CÁLCULO!$AB$15:$AL$15,$E14,0,OFFSET(ORÇAMENTO!$D$15,CRONO!$E14,0)))+IF(AND($E16&lt;&gt;"",$E16&lt;&gt;0),SUMIF(CÁLCULO!$AM$15:$AW$43,"&lt;="&amp;CRONO!T$12,CÁLCULO!$AB$15:$AL$43)/(ORÇAMENTO!$X$15-CÁLCULO.TotalAdmLocal)*CRONO!$E16,0),T15*$R14),SUMIF(OFFSET($R16,1,0,$Q14-2),($L14+1)&amp;"$",OFFSET(T16,1,0,$Q14-2)))</f>
        <v>1860.2280000000001</v>
      </c>
      <c r="U16" s="253">
        <f ca="1">IF($Q14=2,IF(AND(ACOMPANHAMENTO="PLE",ISNUMBER($E14)),SUMIF((OFFSET(CÁLCULO!$AM$15:$AW$15,$E14,0,OFFSET(ORÇAMENTO!$D$15,CRONO!$E14,0))),"="&amp;CRONO!U$12,OFFSET(CÁLCULO!$AB$15:$AL$15,$E14,0,OFFSET(ORÇAMENTO!$D$15,CRONO!$E14,0)))+IF(AND($E16&lt;&gt;"",$E16&lt;&gt;0),SUMIF(CÁLCULO!$AM$15:$AW$43,"="&amp;CRONO!U$12,CÁLCULO!$AB$15:$AL$43)/(ORÇAMENTO!$X$15-CÁLCULO.TotalAdmLocal)*CRONO!$E16,0),U15*$R14),SUMIF(OFFSET($R16,1,0,$Q14-2),($L14+1)&amp;"$",OFFSET(U16,1,0,$Q14-2)))</f>
        <v>2273.6120000000001</v>
      </c>
      <c r="V16" s="253">
        <f ca="1">IF($Q14=2,IF(AND(ACOMPANHAMENTO="PLE",ISNUMBER($E14)),SUMIF((OFFSET(CÁLCULO!$AM$15:$AW$15,$E14,0,OFFSET(ORÇAMENTO!$D$15,CRONO!$E14,0))),"="&amp;CRONO!V$12,OFFSET(CÁLCULO!$AB$15:$AL$15,$E14,0,OFFSET(ORÇAMENTO!$D$15,CRONO!$E14,0)))+IF(AND($E16&lt;&gt;"",$E16&lt;&gt;0),SUMIF(CÁLCULO!$AM$15:$AW$43,"="&amp;CRONO!V$12,CÁLCULO!$AB$15:$AL$43)/(ORÇAMENTO!$X$15-CÁLCULO.TotalAdmLocal)*CRONO!$E16,0),V15*$R14),SUMIF(OFFSET($R16,1,0,$Q14-2),($L14+1)&amp;"$",OFFSET(V16,1,0,$Q14-2)))</f>
        <v>0</v>
      </c>
      <c r="W16" s="253">
        <f ca="1">IF($Q14=2,IF(AND(ACOMPANHAMENTO="PLE",ISNUMBER($E14)),SUMIF((OFFSET(CÁLCULO!$AM$15:$AW$15,$E14,0,OFFSET(ORÇAMENTO!$D$15,CRONO!$E14,0))),"="&amp;CRONO!W$12,OFFSET(CÁLCULO!$AB$15:$AL$15,$E14,0,OFFSET(ORÇAMENTO!$D$15,CRONO!$E14,0)))+IF(AND($E16&lt;&gt;"",$E16&lt;&gt;0),SUMIF(CÁLCULO!$AM$15:$AW$43,"="&amp;CRONO!W$12,CÁLCULO!$AB$15:$AL$43)/(ORÇAMENTO!$X$15-CÁLCULO.TotalAdmLocal)*CRONO!$E16,0),W15*$R14),SUMIF(OFFSET($R16,1,0,$Q14-2),($L14+1)&amp;"$",OFFSET(W16,1,0,$Q14-2)))</f>
        <v>0</v>
      </c>
      <c r="X16" s="253">
        <f ca="1">IF($Q14=2,IF(AND(ACOMPANHAMENTO="PLE",ISNUMBER($E14)),SUMIF((OFFSET(CÁLCULO!$AM$15:$AW$15,$E14,0,OFFSET(ORÇAMENTO!$D$15,CRONO!$E14,0))),"="&amp;CRONO!X$12,OFFSET(CÁLCULO!$AB$15:$AL$15,$E14,0,OFFSET(ORÇAMENTO!$D$15,CRONO!$E14,0)))+IF(AND($E16&lt;&gt;"",$E16&lt;&gt;0),SUMIF(CÁLCULO!$AM$15:$AW$43,"="&amp;CRONO!X$12,CÁLCULO!$AB$15:$AL$43)/(ORÇAMENTO!$X$15-CÁLCULO.TotalAdmLocal)*CRONO!$E16,0),X15*$R14),SUMIF(OFFSET($R16,1,0,$Q14-2),($L14+1)&amp;"$",OFFSET(X16,1,0,$Q14-2)))</f>
        <v>0</v>
      </c>
      <c r="Y16" s="253">
        <f ca="1">IF($Q14=2,IF(AND(ACOMPANHAMENTO="PLE",ISNUMBER($E14)),SUMIF((OFFSET(CÁLCULO!$AM$15:$AW$15,$E14,0,OFFSET(ORÇAMENTO!$D$15,CRONO!$E14,0))),"="&amp;CRONO!Y$12,OFFSET(CÁLCULO!$AB$15:$AL$15,$E14,0,OFFSET(ORÇAMENTO!$D$15,CRONO!$E14,0)))+IF(AND($E16&lt;&gt;"",$E16&lt;&gt;0),SUMIF(CÁLCULO!$AM$15:$AW$43,"="&amp;CRONO!Y$12,CÁLCULO!$AB$15:$AL$43)/(ORÇAMENTO!$X$15-CÁLCULO.TotalAdmLocal)*CRONO!$E16,0),Y15*$R14),SUMIF(OFFSET($R16,1,0,$Q14-2),($L14+1)&amp;"$",OFFSET(Y16,1,0,$Q14-2)))</f>
        <v>0</v>
      </c>
      <c r="Z16" s="253">
        <f ca="1">IF($Q14=2,IF(AND(ACOMPANHAMENTO="PLE",ISNUMBER($E14)),SUMIF((OFFSET(CÁLCULO!$AM$15:$AW$15,$E14,0,OFFSET(ORÇAMENTO!$D$15,CRONO!$E14,0))),"="&amp;CRONO!Z$12,OFFSET(CÁLCULO!$AB$15:$AL$15,$E14,0,OFFSET(ORÇAMENTO!$D$15,CRONO!$E14,0)))+IF(AND($E16&lt;&gt;"",$E16&lt;&gt;0),SUMIF(CÁLCULO!$AM$15:$AW$43,"="&amp;CRONO!Z$12,CÁLCULO!$AB$15:$AL$43)/(ORÇAMENTO!$X$15-CÁLCULO.TotalAdmLocal)*CRONO!$E16,0),Z15*$R14),SUMIF(OFFSET($R16,1,0,$Q14-2),($L14+1)&amp;"$",OFFSET(Z16,1,0,$Q14-2)))</f>
        <v>0</v>
      </c>
      <c r="AA16" s="253">
        <f ca="1">IF($Q14=2,IF(AND(ACOMPANHAMENTO="PLE",ISNUMBER($E14)),SUMIF((OFFSET(CÁLCULO!$AM$15:$AW$15,$E14,0,OFFSET(ORÇAMENTO!$D$15,CRONO!$E14,0))),"="&amp;CRONO!AA$12,OFFSET(CÁLCULO!$AB$15:$AL$15,$E14,0,OFFSET(ORÇAMENTO!$D$15,CRONO!$E14,0)))+IF(AND($E16&lt;&gt;"",$E16&lt;&gt;0),SUMIF(CÁLCULO!$AM$15:$AW$43,"="&amp;CRONO!AA$12,CÁLCULO!$AB$15:$AL$43)/(ORÇAMENTO!$X$15-CÁLCULO.TotalAdmLocal)*CRONO!$E16,0),AA15*$R14),SUMIF(OFFSET($R16,1,0,$Q14-2),($L14+1)&amp;"$",OFFSET(AA16,1,0,$Q14-2)))</f>
        <v>0</v>
      </c>
      <c r="AB16" s="253">
        <f ca="1">IF($Q14=2,IF(AND(ACOMPANHAMENTO="PLE",ISNUMBER($E14)),SUMIF((OFFSET(CÁLCULO!$AM$15:$AW$15,$E14,0,OFFSET(ORÇAMENTO!$D$15,CRONO!$E14,0))),"="&amp;CRONO!AB$12,OFFSET(CÁLCULO!$AB$15:$AL$15,$E14,0,OFFSET(ORÇAMENTO!$D$15,CRONO!$E14,0)))+IF(AND($E16&lt;&gt;"",$E16&lt;&gt;0),SUMIF(CÁLCULO!$AM$15:$AW$43,"="&amp;CRONO!AB$12,CÁLCULO!$AB$15:$AL$43)/(ORÇAMENTO!$X$15-CÁLCULO.TotalAdmLocal)*CRONO!$E16,0),AB15*$R14),SUMIF(OFFSET($R16,1,0,$Q14-2),($L14+1)&amp;"$",OFFSET(AB16,1,0,$Q14-2)))</f>
        <v>0</v>
      </c>
      <c r="AC16" s="253">
        <f ca="1">IF($Q14=2,IF(AND(ACOMPANHAMENTO="PLE",ISNUMBER($E14)),SUMIF((OFFSET(CÁLCULO!$AM$15:$AW$15,$E14,0,OFFSET(ORÇAMENTO!$D$15,CRONO!$E14,0))),"="&amp;CRONO!AC$12,OFFSET(CÁLCULO!$AB$15:$AL$15,$E14,0,OFFSET(ORÇAMENTO!$D$15,CRONO!$E14,0)))+IF(AND($E16&lt;&gt;"",$E16&lt;&gt;0),SUMIF(CÁLCULO!$AM$15:$AW$43,"="&amp;CRONO!AC$12,CÁLCULO!$AB$15:$AL$43)/(ORÇAMENTO!$X$15-CÁLCULO.TotalAdmLocal)*CRONO!$E16,0),AC15*$R14),SUMIF(OFFSET($R16,1,0,$Q14-2),($L14+1)&amp;"$",OFFSET(AC16,1,0,$Q14-2)))</f>
        <v>0</v>
      </c>
      <c r="AD16" s="253">
        <f ca="1">IF($Q14=2,IF(AND(ACOMPANHAMENTO="PLE",ISNUMBER($E14)),SUMIF((OFFSET(CÁLCULO!$AM$15:$AW$15,$E14,0,OFFSET(ORÇAMENTO!$D$15,CRONO!$E14,0))),"="&amp;CRONO!AD$12,OFFSET(CÁLCULO!$AB$15:$AL$15,$E14,0,OFFSET(ORÇAMENTO!$D$15,CRONO!$E14,0)))+IF(AND($E16&lt;&gt;"",$E16&lt;&gt;0),SUMIF(CÁLCULO!$AM$15:$AW$43,"="&amp;CRONO!AD$12,CÁLCULO!$AB$15:$AL$43)/(ORÇAMENTO!$X$15-CÁLCULO.TotalAdmLocal)*CRONO!$E16,0),AD15*$R14),SUMIF(OFFSET($R16,1,0,$Q14-2),($L14+1)&amp;"$",OFFSET(AD16,1,0,$Q14-2)))</f>
        <v>0</v>
      </c>
      <c r="AE16" s="258">
        <f ca="1">IF($Q14=2,IF(AND(ACOMPANHAMENTO="PLE",ISNUMBER($E14)),SUMIF((OFFSET(CÁLCULO!$AM$15:$AW$15,$E14,0,OFFSET(ORÇAMENTO!$D$15,CRONO!$E14,0))),"="&amp;CRONO!AE$12,OFFSET(CÁLCULO!$AB$15:$AL$15,$E14,0,OFFSET(ORÇAMENTO!$D$15,CRONO!$E14,0)))+IF(AND($E16&lt;&gt;"",$E16&lt;&gt;0),SUMIF(CÁLCULO!$AM$15:$AW$43,"="&amp;CRONO!AE$12,CÁLCULO!$AB$15:$AL$43)/(ORÇAMENTO!$X$15-CÁLCULO.TotalAdmLocal)*CRONO!$E16,0),AE15*$R14),SUMIF(OFFSET($R16,1,0,$Q14-2),($L14+1)&amp;"$",OFFSET(AE16,1,0,$Q14-2)))</f>
        <v>0</v>
      </c>
    </row>
    <row r="17" spans="4:32" ht="5.0999999999999996" customHeight="1">
      <c r="D17" s="578"/>
      <c r="F17" s="234" t="s">
        <v>246</v>
      </c>
      <c r="G17" s="580"/>
      <c r="H17" s="581"/>
      <c r="I17" s="582"/>
      <c r="J17" s="582"/>
      <c r="K17" s="582"/>
      <c r="L17" s="583" t="s">
        <v>281</v>
      </c>
      <c r="M17" s="583"/>
      <c r="N17" s="583"/>
      <c r="O17" s="583"/>
      <c r="P17" s="583"/>
      <c r="Q17" s="583"/>
      <c r="R17" s="584"/>
      <c r="S17" s="584"/>
      <c r="T17" s="582"/>
      <c r="U17" s="582"/>
      <c r="V17" s="582"/>
      <c r="W17" s="582"/>
      <c r="X17" s="582"/>
      <c r="Y17" s="582"/>
      <c r="Z17" s="582"/>
      <c r="AA17" s="582"/>
      <c r="AB17" s="582"/>
      <c r="AC17" s="582"/>
      <c r="AD17" s="582"/>
      <c r="AE17" s="585"/>
      <c r="AF17" s="579"/>
    </row>
    <row r="18" spans="4:32" ht="12.75" customHeight="1">
      <c r="D18" s="285">
        <f ca="1">D22/$Q$18</f>
        <v>0</v>
      </c>
      <c r="F18" s="234" t="s">
        <v>246</v>
      </c>
      <c r="H18" s="731" t="str">
        <f ca="1">"Total:    R$ "&amp;TEXT(Q18,"#.##0,00")</f>
        <v>Total:    R$ 4.133,84</v>
      </c>
      <c r="I18" s="731"/>
      <c r="J18" s="731"/>
      <c r="K18" s="286"/>
      <c r="Q18" s="287">
        <f ca="1">SUMIF(L12:L17,1,R12:R17)</f>
        <v>4133.84</v>
      </c>
      <c r="R18" s="288"/>
      <c r="S18" s="289" t="s">
        <v>282</v>
      </c>
      <c r="T18" s="290">
        <f t="shared" ref="T18:AE18" ca="1" si="4">ROUND(T22,2)/$Q$18</f>
        <v>0.4500004838116618</v>
      </c>
      <c r="U18" s="291">
        <f t="shared" ca="1" si="4"/>
        <v>0.5499995161883382</v>
      </c>
      <c r="V18" s="291">
        <f t="shared" ca="1" si="4"/>
        <v>0</v>
      </c>
      <c r="W18" s="291">
        <f t="shared" ca="1" si="4"/>
        <v>0</v>
      </c>
      <c r="X18" s="291">
        <f t="shared" ca="1" si="4"/>
        <v>0</v>
      </c>
      <c r="Y18" s="291">
        <f t="shared" ca="1" si="4"/>
        <v>0</v>
      </c>
      <c r="Z18" s="291">
        <f t="shared" ca="1" si="4"/>
        <v>0</v>
      </c>
      <c r="AA18" s="291">
        <f t="shared" ca="1" si="4"/>
        <v>0</v>
      </c>
      <c r="AB18" s="291">
        <f t="shared" ca="1" si="4"/>
        <v>0</v>
      </c>
      <c r="AC18" s="291">
        <f t="shared" ca="1" si="4"/>
        <v>0</v>
      </c>
      <c r="AD18" s="291">
        <f t="shared" ca="1" si="4"/>
        <v>0</v>
      </c>
      <c r="AE18" s="292">
        <f t="shared" ca="1" si="4"/>
        <v>0</v>
      </c>
    </row>
    <row r="19" spans="4:32" ht="15" customHeight="1">
      <c r="D19" s="293">
        <f ca="1">ROUND(D24,2)-ROUND(C24,2)</f>
        <v>0</v>
      </c>
      <c r="F19" s="234" t="s">
        <v>246</v>
      </c>
      <c r="H19" s="731"/>
      <c r="I19" s="731"/>
      <c r="J19" s="731"/>
      <c r="K19" s="294"/>
      <c r="Q19" s="287"/>
      <c r="R19" s="295"/>
      <c r="S19" s="296" t="str">
        <f>IF(import.recurso="FGTS","Financiamento:","Repasse:")</f>
        <v>Repasse:</v>
      </c>
      <c r="T19" s="297">
        <f ca="1">ROUND(T24,2)</f>
        <v>1860.23</v>
      </c>
      <c r="U19" s="293">
        <f t="shared" ref="U19:AE19" ca="1" si="5">ROUND(U24,2)-ROUND(T24,2)</f>
        <v>2273.61</v>
      </c>
      <c r="V19" s="293">
        <f t="shared" ca="1" si="5"/>
        <v>0</v>
      </c>
      <c r="W19" s="293">
        <f t="shared" ca="1" si="5"/>
        <v>0</v>
      </c>
      <c r="X19" s="293">
        <f t="shared" ca="1" si="5"/>
        <v>0</v>
      </c>
      <c r="Y19" s="293">
        <f t="shared" ca="1" si="5"/>
        <v>0</v>
      </c>
      <c r="Z19" s="293">
        <f t="shared" ca="1" si="5"/>
        <v>0</v>
      </c>
      <c r="AA19" s="293">
        <f t="shared" ca="1" si="5"/>
        <v>0</v>
      </c>
      <c r="AB19" s="293">
        <f t="shared" ca="1" si="5"/>
        <v>0</v>
      </c>
      <c r="AC19" s="293">
        <f t="shared" ca="1" si="5"/>
        <v>0</v>
      </c>
      <c r="AD19" s="293">
        <f t="shared" ca="1" si="5"/>
        <v>0</v>
      </c>
      <c r="AE19" s="298">
        <f t="shared" ca="1" si="5"/>
        <v>0</v>
      </c>
    </row>
    <row r="20" spans="4:32" ht="12.75" customHeight="1">
      <c r="D20" s="293">
        <f ca="1">ROUND(D25,2)-ROUND(C25,2)</f>
        <v>0</v>
      </c>
      <c r="F20" s="234" t="s">
        <v>246</v>
      </c>
      <c r="H20" s="299"/>
      <c r="K20" s="300" t="s">
        <v>283</v>
      </c>
      <c r="Q20" s="287"/>
      <c r="R20" s="301"/>
      <c r="S20" s="302" t="s">
        <v>284</v>
      </c>
      <c r="T20" s="303">
        <f ca="1">ROUND(T25,2)</f>
        <v>0</v>
      </c>
      <c r="U20" s="304">
        <f t="shared" ref="U20:AE20" ca="1" si="6">ROUND(U25,2)-ROUND(T25,2)</f>
        <v>0</v>
      </c>
      <c r="V20" s="304">
        <f t="shared" ca="1" si="6"/>
        <v>0</v>
      </c>
      <c r="W20" s="304">
        <f t="shared" ca="1" si="6"/>
        <v>0</v>
      </c>
      <c r="X20" s="304">
        <f t="shared" ca="1" si="6"/>
        <v>0</v>
      </c>
      <c r="Y20" s="304">
        <f t="shared" ca="1" si="6"/>
        <v>0</v>
      </c>
      <c r="Z20" s="304">
        <f t="shared" ca="1" si="6"/>
        <v>0</v>
      </c>
      <c r="AA20" s="304">
        <f t="shared" ca="1" si="6"/>
        <v>0</v>
      </c>
      <c r="AB20" s="304">
        <f t="shared" ca="1" si="6"/>
        <v>0</v>
      </c>
      <c r="AC20" s="304">
        <f t="shared" ca="1" si="6"/>
        <v>0</v>
      </c>
      <c r="AD20" s="304">
        <f t="shared" ca="1" si="6"/>
        <v>0</v>
      </c>
      <c r="AE20" s="305">
        <f t="shared" ca="1" si="6"/>
        <v>0</v>
      </c>
    </row>
    <row r="21" spans="4:32">
      <c r="D21" s="306">
        <f ca="1">ROUND(D26,2)-ROUND(C26,2)</f>
        <v>0</v>
      </c>
      <c r="F21" s="234" t="s">
        <v>246</v>
      </c>
      <c r="H21" s="299"/>
      <c r="K21" s="300"/>
      <c r="Q21" s="287"/>
      <c r="R21" s="307"/>
      <c r="S21" s="308" t="s">
        <v>285</v>
      </c>
      <c r="T21" s="309">
        <f ca="1">ROUND(T26,2)</f>
        <v>0</v>
      </c>
      <c r="U21" s="306">
        <f t="shared" ref="U21:AE21" ca="1" si="7">ROUND(U26,2)-ROUND(T26,2)</f>
        <v>0</v>
      </c>
      <c r="V21" s="306">
        <f t="shared" ca="1" si="7"/>
        <v>0</v>
      </c>
      <c r="W21" s="306">
        <f t="shared" ca="1" si="7"/>
        <v>0</v>
      </c>
      <c r="X21" s="306">
        <f t="shared" ca="1" si="7"/>
        <v>0</v>
      </c>
      <c r="Y21" s="306">
        <f t="shared" ca="1" si="7"/>
        <v>0</v>
      </c>
      <c r="Z21" s="306">
        <f t="shared" ca="1" si="7"/>
        <v>0</v>
      </c>
      <c r="AA21" s="306">
        <f t="shared" ca="1" si="7"/>
        <v>0</v>
      </c>
      <c r="AB21" s="306">
        <f t="shared" ca="1" si="7"/>
        <v>0</v>
      </c>
      <c r="AC21" s="306">
        <f t="shared" ca="1" si="7"/>
        <v>0</v>
      </c>
      <c r="AD21" s="306">
        <f t="shared" ca="1" si="7"/>
        <v>0</v>
      </c>
      <c r="AE21" s="310">
        <f t="shared" ca="1" si="7"/>
        <v>0</v>
      </c>
    </row>
    <row r="22" spans="4:32">
      <c r="D22" s="311">
        <f ca="1">ROUND(D27,2)-ROUND(C27,2)</f>
        <v>0</v>
      </c>
      <c r="F22" s="234" t="s">
        <v>246</v>
      </c>
      <c r="K22" s="312"/>
      <c r="R22" s="313"/>
      <c r="S22" s="314" t="s">
        <v>286</v>
      </c>
      <c r="T22" s="315">
        <f ca="1">ROUND(T27,2)</f>
        <v>1860.23</v>
      </c>
      <c r="U22" s="316">
        <f t="shared" ref="U22:AE22" ca="1" si="8">ROUND(U27,2)-ROUND(T27,2)</f>
        <v>2273.61</v>
      </c>
      <c r="V22" s="316">
        <f t="shared" ca="1" si="8"/>
        <v>0</v>
      </c>
      <c r="W22" s="316">
        <f t="shared" ca="1" si="8"/>
        <v>0</v>
      </c>
      <c r="X22" s="316">
        <f t="shared" ca="1" si="8"/>
        <v>0</v>
      </c>
      <c r="Y22" s="316">
        <f t="shared" ca="1" si="8"/>
        <v>0</v>
      </c>
      <c r="Z22" s="316">
        <f t="shared" ca="1" si="8"/>
        <v>0</v>
      </c>
      <c r="AA22" s="316">
        <f t="shared" ca="1" si="8"/>
        <v>0</v>
      </c>
      <c r="AB22" s="316">
        <f t="shared" ca="1" si="8"/>
        <v>0</v>
      </c>
      <c r="AC22" s="316">
        <f t="shared" ca="1" si="8"/>
        <v>0</v>
      </c>
      <c r="AD22" s="316">
        <f t="shared" ca="1" si="8"/>
        <v>0</v>
      </c>
      <c r="AE22" s="317">
        <f t="shared" ca="1" si="8"/>
        <v>0</v>
      </c>
    </row>
    <row r="23" spans="4:32">
      <c r="D23" s="285">
        <f ca="1">D27/$Q$18</f>
        <v>0</v>
      </c>
      <c r="F23" s="234" t="s">
        <v>246</v>
      </c>
      <c r="K23" s="286"/>
      <c r="R23" s="288"/>
      <c r="S23" s="289" t="s">
        <v>282</v>
      </c>
      <c r="T23" s="290">
        <f ca="1">ROUND(T27,2)/$Q$18</f>
        <v>0.4500004838116618</v>
      </c>
      <c r="U23" s="291">
        <f t="shared" ref="U23:AE23" ca="1" si="9">ROUND(U27,2)/$Q$18</f>
        <v>1</v>
      </c>
      <c r="V23" s="291">
        <f t="shared" ca="1" si="9"/>
        <v>1</v>
      </c>
      <c r="W23" s="291">
        <f t="shared" ca="1" si="9"/>
        <v>1</v>
      </c>
      <c r="X23" s="291">
        <f t="shared" ca="1" si="9"/>
        <v>1</v>
      </c>
      <c r="Y23" s="291">
        <f t="shared" ca="1" si="9"/>
        <v>1</v>
      </c>
      <c r="Z23" s="291">
        <f t="shared" ca="1" si="9"/>
        <v>1</v>
      </c>
      <c r="AA23" s="291">
        <f t="shared" ca="1" si="9"/>
        <v>1</v>
      </c>
      <c r="AB23" s="291">
        <f t="shared" ca="1" si="9"/>
        <v>1</v>
      </c>
      <c r="AC23" s="291">
        <f t="shared" ca="1" si="9"/>
        <v>1</v>
      </c>
      <c r="AD23" s="291">
        <f t="shared" ca="1" si="9"/>
        <v>1</v>
      </c>
      <c r="AE23" s="292">
        <f t="shared" ca="1" si="9"/>
        <v>1</v>
      </c>
    </row>
    <row r="24" spans="4:32">
      <c r="D24" s="293">
        <f ca="1">ROUND(D27-D26-D25,2)</f>
        <v>0</v>
      </c>
      <c r="F24" s="234" t="s">
        <v>246</v>
      </c>
      <c r="K24" s="294"/>
      <c r="R24" s="295"/>
      <c r="S24" s="296" t="str">
        <f>IF(import.recurso="FGTS","Financiamento:","Repasse:")</f>
        <v>Repasse:</v>
      </c>
      <c r="T24" s="297">
        <f ca="1">ROUND(T27-T26-T25,2)</f>
        <v>1860.23</v>
      </c>
      <c r="U24" s="293">
        <f t="shared" ref="U24:AE24" ca="1" si="10">ROUND(U27-U26-U25,2)</f>
        <v>4133.84</v>
      </c>
      <c r="V24" s="293">
        <f t="shared" ca="1" si="10"/>
        <v>4133.84</v>
      </c>
      <c r="W24" s="293">
        <f t="shared" ca="1" si="10"/>
        <v>4133.84</v>
      </c>
      <c r="X24" s="293">
        <f t="shared" ca="1" si="10"/>
        <v>4133.84</v>
      </c>
      <c r="Y24" s="293">
        <f t="shared" ca="1" si="10"/>
        <v>4133.84</v>
      </c>
      <c r="Z24" s="293">
        <f t="shared" ca="1" si="10"/>
        <v>4133.84</v>
      </c>
      <c r="AA24" s="293">
        <f t="shared" ca="1" si="10"/>
        <v>4133.84</v>
      </c>
      <c r="AB24" s="293">
        <f t="shared" ca="1" si="10"/>
        <v>4133.84</v>
      </c>
      <c r="AC24" s="293">
        <f t="shared" ca="1" si="10"/>
        <v>4133.84</v>
      </c>
      <c r="AD24" s="293">
        <f t="shared" ca="1" si="10"/>
        <v>4133.84</v>
      </c>
      <c r="AE24" s="298">
        <f t="shared" ca="1" si="10"/>
        <v>4133.84</v>
      </c>
      <c r="AF24" s="235">
        <f ca="1">AE24+SUMPRODUCT((OFFSET($B$13,1,0):OFFSET($B$17,-3,0))*IF(ISNUMBER(OFFSET(AF$11,5,0):OFFSET(AF$17,-1,0)),OFFSET(AF$11,5,0):OFFSET(AF$17,-1,0),0))</f>
        <v>4133.84</v>
      </c>
    </row>
    <row r="25" spans="4:32">
      <c r="D25" s="293">
        <f t="array" aca="1" ref="D25" ca="1">C25+SUM((OFFSET($B$13,1,0):OFFSET($B$17,-3,0))*IF(ISNUMBER(OFFSET(D$11,5,0):OFFSET(D$17,-1,0)),OFFSET(D$11,5,0):OFFSET(D$17,-1,0),0))</f>
        <v>0</v>
      </c>
      <c r="F25" s="234" t="s">
        <v>246</v>
      </c>
      <c r="K25" s="300" t="s">
        <v>287</v>
      </c>
      <c r="R25" s="301"/>
      <c r="S25" s="302" t="s">
        <v>284</v>
      </c>
      <c r="T25" s="303">
        <f t="array" aca="1" ref="T25" ca="1">SUM((OFFSET($B$13,1,0):OFFSET($B$17,-3,0))*IF(ISNUMBER(OFFSET(T$11,5,0):OFFSET(T$17,-1,0)),OFFSET(T$11,5,0):OFFSET(T$17,-1,0),0))</f>
        <v>0</v>
      </c>
      <c r="U25" s="304">
        <f t="array" aca="1" ref="U25" ca="1">T25+SUM((OFFSET($B$13,1,0):OFFSET($B$17,-3,0))*IF(ISNUMBER(OFFSET(U$11,5,0):OFFSET(U$17,-1,0)),OFFSET(U$11,5,0):OFFSET(U$17,-1,0),0))</f>
        <v>0</v>
      </c>
      <c r="V25" s="304">
        <f t="array" aca="1" ref="V25" ca="1">U25+SUM((OFFSET($B$13,1,0):OFFSET($B$17,-3,0))*IF(ISNUMBER(OFFSET(V$11,5,0):OFFSET(V$17,-1,0)),OFFSET(V$11,5,0):OFFSET(V$17,-1,0),0))</f>
        <v>0</v>
      </c>
      <c r="W25" s="304">
        <f t="array" aca="1" ref="W25" ca="1">V25+SUM((OFFSET($B$13,1,0):OFFSET($B$17,-3,0))*IF(ISNUMBER(OFFSET(W$11,5,0):OFFSET(W$17,-1,0)),OFFSET(W$11,5,0):OFFSET(W$17,-1,0),0))</f>
        <v>0</v>
      </c>
      <c r="X25" s="304">
        <f t="array" aca="1" ref="X25" ca="1">W25+SUM((OFFSET($B$13,1,0):OFFSET($B$17,-3,0))*IF(ISNUMBER(OFFSET(X$11,5,0):OFFSET(X$17,-1,0)),OFFSET(X$11,5,0):OFFSET(X$17,-1,0),0))</f>
        <v>0</v>
      </c>
      <c r="Y25" s="304">
        <f t="array" aca="1" ref="Y25" ca="1">X25+SUM((OFFSET($B$13,1,0):OFFSET($B$17,-3,0))*IF(ISNUMBER(OFFSET(Y$11,5,0):OFFSET(Y$17,-1,0)),OFFSET(Y$11,5,0):OFFSET(Y$17,-1,0),0))</f>
        <v>0</v>
      </c>
      <c r="Z25" s="304">
        <f t="array" aca="1" ref="Z25" ca="1">Y25+SUM((OFFSET($B$13,1,0):OFFSET($B$17,-3,0))*IF(ISNUMBER(OFFSET(Z$11,5,0):OFFSET(Z$17,-1,0)),OFFSET(Z$11,5,0):OFFSET(Z$17,-1,0),0))</f>
        <v>0</v>
      </c>
      <c r="AA25" s="304">
        <f t="array" aca="1" ref="AA25" ca="1">Z25+SUM((OFFSET($B$13,1,0):OFFSET($B$17,-3,0))*IF(ISNUMBER(OFFSET(AA$11,5,0):OFFSET(AA$17,-1,0)),OFFSET(AA$11,5,0):OFFSET(AA$17,-1,0),0))</f>
        <v>0</v>
      </c>
      <c r="AB25" s="304">
        <f t="array" aca="1" ref="AB25" ca="1">AA25+SUM((OFFSET($B$13,1,0):OFFSET($B$17,-3,0))*IF(ISNUMBER(OFFSET(AB$11,5,0):OFFSET(AB$17,-1,0)),OFFSET(AB$11,5,0):OFFSET(AB$17,-1,0),0))</f>
        <v>0</v>
      </c>
      <c r="AC25" s="304">
        <f t="array" aca="1" ref="AC25" ca="1">AB25+SUM((OFFSET($B$13,1,0):OFFSET($B$17,-3,0))*IF(ISNUMBER(OFFSET(AC$11,5,0):OFFSET(AC$17,-1,0)),OFFSET(AC$11,5,0):OFFSET(AC$17,-1,0),0))</f>
        <v>0</v>
      </c>
      <c r="AD25" s="304">
        <f t="array" aca="1" ref="AD25" ca="1">AC25+SUM((OFFSET($B$13,1,0):OFFSET($B$17,-3,0))*IF(ISNUMBER(OFFSET(AD$11,5,0):OFFSET(AD$17,-1,0)),OFFSET(AD$11,5,0):OFFSET(AD$17,-1,0),0))</f>
        <v>0</v>
      </c>
      <c r="AE25" s="305">
        <f t="array" aca="1" ref="AE25" ca="1">AD25+SUM((OFFSET($B$13,1,0):OFFSET($B$17,-3,0))*IF(ISNUMBER(OFFSET(AE$11,5,0):OFFSET(AE$17,-1,0)),OFFSET(AE$11,5,0):OFFSET(AE$17,-1,0),0))</f>
        <v>0</v>
      </c>
      <c r="AF25" s="235">
        <f ca="1">AE25+SUMPRODUCT((OFFSET($C$13,1,0):OFFSET($C$17,-3,0))*IF(ISNUMBER(OFFSET(AF$11,5,0):OFFSET(AF$17,-1,0)),OFFSET(AF$11,5,0):OFFSET(AF$17,-1,0),0))</f>
        <v>0</v>
      </c>
    </row>
    <row r="26" spans="4:32">
      <c r="D26" s="306">
        <f t="array" aca="1" ref="D26" ca="1">C26+SUM((OFFSET($C$13,1,0):OFFSET($C$17,-3,0))*IF(ISNUMBER(OFFSET(D$11,5,0):OFFSET(D$17,-1,0)),OFFSET(D$11,5,0):OFFSET(D$17,-1,0),0))</f>
        <v>0</v>
      </c>
      <c r="F26" s="234" t="s">
        <v>246</v>
      </c>
      <c r="K26" s="300"/>
      <c r="R26" s="307"/>
      <c r="S26" s="308" t="s">
        <v>285</v>
      </c>
      <c r="T26" s="309">
        <f t="array" aca="1" ref="T26" ca="1">SUM((OFFSET($C$13,1,0):OFFSET($C$17,-3,0))*IF(ISNUMBER(OFFSET(T$11,5,0):OFFSET(T$17,-1,0)),OFFSET(T$11,5,0):OFFSET(T$17,-1,0),0))</f>
        <v>0</v>
      </c>
      <c r="U26" s="306">
        <f t="array" aca="1" ref="U26" ca="1">T26+SUM((OFFSET($C$13,1,0):OFFSET($C$17,-3,0))*IF(ISNUMBER(OFFSET(U$11,5,0):OFFSET(U$17,-1,0)),OFFSET(U$11,5,0):OFFSET(U$17,-1,0),0))</f>
        <v>0</v>
      </c>
      <c r="V26" s="306">
        <f t="array" aca="1" ref="V26" ca="1">U26+SUM((OFFSET($C$13,1,0):OFFSET($C$17,-3,0))*IF(ISNUMBER(OFFSET(V$11,5,0):OFFSET(V$17,-1,0)),OFFSET(V$11,5,0):OFFSET(V$17,-1,0),0))</f>
        <v>0</v>
      </c>
      <c r="W26" s="306">
        <f t="array" aca="1" ref="W26" ca="1">V26+SUM((OFFSET($C$13,1,0):OFFSET($C$17,-3,0))*IF(ISNUMBER(OFFSET(W$11,5,0):OFFSET(W$17,-1,0)),OFFSET(W$11,5,0):OFFSET(W$17,-1,0),0))</f>
        <v>0</v>
      </c>
      <c r="X26" s="306">
        <f t="array" aca="1" ref="X26" ca="1">W26+SUM((OFFSET($C$13,1,0):OFFSET($C$17,-3,0))*IF(ISNUMBER(OFFSET(X$11,5,0):OFFSET(X$17,-1,0)),OFFSET(X$11,5,0):OFFSET(X$17,-1,0),0))</f>
        <v>0</v>
      </c>
      <c r="Y26" s="306">
        <f t="array" aca="1" ref="Y26" ca="1">X26+SUM((OFFSET($C$13,1,0):OFFSET($C$17,-3,0))*IF(ISNUMBER(OFFSET(Y$11,5,0):OFFSET(Y$17,-1,0)),OFFSET(Y$11,5,0):OFFSET(Y$17,-1,0),0))</f>
        <v>0</v>
      </c>
      <c r="Z26" s="306">
        <f t="array" aca="1" ref="Z26" ca="1">Y26+SUM((OFFSET($C$13,1,0):OFFSET($C$17,-3,0))*IF(ISNUMBER(OFFSET(Z$11,5,0):OFFSET(Z$17,-1,0)),OFFSET(Z$11,5,0):OFFSET(Z$17,-1,0),0))</f>
        <v>0</v>
      </c>
      <c r="AA26" s="306">
        <f t="array" aca="1" ref="AA26" ca="1">Z26+SUM((OFFSET($C$13,1,0):OFFSET($C$17,-3,0))*IF(ISNUMBER(OFFSET(AA$11,5,0):OFFSET(AA$17,-1,0)),OFFSET(AA$11,5,0):OFFSET(AA$17,-1,0),0))</f>
        <v>0</v>
      </c>
      <c r="AB26" s="306">
        <f t="array" aca="1" ref="AB26" ca="1">AA26+SUM((OFFSET($C$13,1,0):OFFSET($C$17,-3,0))*IF(ISNUMBER(OFFSET(AB$11,5,0):OFFSET(AB$17,-1,0)),OFFSET(AB$11,5,0):OFFSET(AB$17,-1,0),0))</f>
        <v>0</v>
      </c>
      <c r="AC26" s="306">
        <f t="array" aca="1" ref="AC26" ca="1">AB26+SUM((OFFSET($C$13,1,0):OFFSET($C$17,-3,0))*IF(ISNUMBER(OFFSET(AC$11,5,0):OFFSET(AC$17,-1,0)),OFFSET(AC$11,5,0):OFFSET(AC$17,-1,0),0))</f>
        <v>0</v>
      </c>
      <c r="AD26" s="306">
        <f t="array" aca="1" ref="AD26" ca="1">AC26+SUM((OFFSET($C$13,1,0):OFFSET($C$17,-3,0))*IF(ISNUMBER(OFFSET(AD$11,5,0):OFFSET(AD$17,-1,0)),OFFSET(AD$11,5,0):OFFSET(AD$17,-1,0),0))</f>
        <v>0</v>
      </c>
      <c r="AE26" s="310">
        <f t="array" aca="1" ref="AE26" ca="1">AD26+SUM((OFFSET($C$13,1,0):OFFSET($C$17,-3,0))*IF(ISNUMBER(OFFSET(AE$11,5,0):OFFSET(AE$17,-1,0)),OFFSET(AE$11,5,0):OFFSET(AE$17,-1,0),0))</f>
        <v>0</v>
      </c>
      <c r="AF26" s="235">
        <f ca="1">ROUND(AF27-AF24-AF25,2)</f>
        <v>0</v>
      </c>
    </row>
    <row r="27" spans="4:32">
      <c r="D27" s="311">
        <f ca="1">C27+SUMIF($R$12:$R$17,"1$",D12:D17)</f>
        <v>0</v>
      </c>
      <c r="F27" s="234" t="s">
        <v>246</v>
      </c>
      <c r="K27" s="312"/>
      <c r="R27" s="313"/>
      <c r="S27" s="314" t="s">
        <v>286</v>
      </c>
      <c r="T27" s="315">
        <f ca="1">SUMIF($R$12:$R$17,"1$",T12:T17)</f>
        <v>1860.2280000000001</v>
      </c>
      <c r="U27" s="316">
        <f t="shared" ref="U27:AF27" ca="1" si="11">T27+SUMIF($R$12:$R$17,"1$",U12:U17)</f>
        <v>4133.84</v>
      </c>
      <c r="V27" s="316">
        <f t="shared" ca="1" si="11"/>
        <v>4133.84</v>
      </c>
      <c r="W27" s="316">
        <f t="shared" ca="1" si="11"/>
        <v>4133.84</v>
      </c>
      <c r="X27" s="316">
        <f t="shared" ca="1" si="11"/>
        <v>4133.84</v>
      </c>
      <c r="Y27" s="316">
        <f t="shared" ca="1" si="11"/>
        <v>4133.84</v>
      </c>
      <c r="Z27" s="316">
        <f t="shared" ca="1" si="11"/>
        <v>4133.84</v>
      </c>
      <c r="AA27" s="316">
        <f t="shared" ca="1" si="11"/>
        <v>4133.84</v>
      </c>
      <c r="AB27" s="316">
        <f t="shared" ca="1" si="11"/>
        <v>4133.84</v>
      </c>
      <c r="AC27" s="316">
        <f t="shared" ca="1" si="11"/>
        <v>4133.84</v>
      </c>
      <c r="AD27" s="316">
        <f t="shared" ca="1" si="11"/>
        <v>4133.84</v>
      </c>
      <c r="AE27" s="317">
        <f t="shared" ca="1" si="11"/>
        <v>4133.84</v>
      </c>
      <c r="AF27" s="235">
        <f t="shared" ca="1" si="11"/>
        <v>4133.84</v>
      </c>
    </row>
    <row r="28" spans="4:32">
      <c r="F28" s="234" t="s">
        <v>246</v>
      </c>
    </row>
    <row r="29" spans="4:32" ht="32.25" customHeight="1">
      <c r="F29" s="234" t="s">
        <v>246</v>
      </c>
      <c r="H29" s="712" t="str">
        <f>Import.Município</f>
        <v>PAINS/MG</v>
      </c>
      <c r="I29" s="712"/>
      <c r="J29" s="712"/>
      <c r="K29" s="712"/>
      <c r="L29" s="712"/>
      <c r="M29" s="712"/>
      <c r="N29" s="712"/>
      <c r="O29" s="712"/>
      <c r="P29" s="712"/>
      <c r="Q29" s="712"/>
      <c r="R29" s="712"/>
      <c r="Z29" s="635"/>
      <c r="AA29" s="635"/>
      <c r="AB29" s="635"/>
      <c r="AC29" s="635"/>
      <c r="AD29" s="638"/>
      <c r="AE29" s="638"/>
    </row>
    <row r="30" spans="4:32">
      <c r="F30" s="234" t="s">
        <v>246</v>
      </c>
      <c r="H30" s="12" t="s">
        <v>188</v>
      </c>
      <c r="I30" s="100"/>
      <c r="J30" s="100"/>
      <c r="K30" s="100"/>
      <c r="Z30" s="225" t="s">
        <v>190</v>
      </c>
      <c r="AA30" s="225"/>
      <c r="AB30" s="225"/>
      <c r="AC30" s="225"/>
      <c r="AD30" s="234"/>
      <c r="AE30" s="234"/>
    </row>
    <row r="31" spans="4:32">
      <c r="F31" s="234" t="s">
        <v>246</v>
      </c>
      <c r="H31" s="100"/>
      <c r="I31" s="100"/>
      <c r="J31" s="100"/>
      <c r="K31" s="100"/>
      <c r="Z31" s="637" t="str">
        <f t="array" aca="1" ref="Z31:Z33" ca="1">OFFSET(Import.RespOrçamento,0,-1) &amp; " " &amp; Import.RespOrçamento</f>
        <v>Nome: VINÍCIUS HENRIQUE ALVES</v>
      </c>
      <c r="AB31" s="172"/>
      <c r="AC31" s="92"/>
      <c r="AD31" s="234"/>
      <c r="AE31" s="234"/>
    </row>
    <row r="32" spans="4:32">
      <c r="F32" s="234" t="s">
        <v>246</v>
      </c>
      <c r="H32" s="735">
        <f ca="1">DADOS!$F$25</f>
        <v>45609</v>
      </c>
      <c r="I32" s="735"/>
      <c r="J32" s="735"/>
      <c r="K32" s="318"/>
      <c r="L32" s="319"/>
      <c r="M32" s="319"/>
      <c r="N32" s="319"/>
      <c r="O32" s="319"/>
      <c r="P32" s="319"/>
      <c r="Q32" s="319"/>
      <c r="R32" s="320"/>
      <c r="Z32" s="637" t="str">
        <f ca="1"/>
        <v>CREA/CAU: 253.246/D</v>
      </c>
      <c r="AB32" s="92"/>
      <c r="AC32" s="92"/>
      <c r="AD32" s="234"/>
      <c r="AE32" s="234"/>
    </row>
    <row r="33" spans="6:31">
      <c r="F33" s="234" t="s">
        <v>246</v>
      </c>
      <c r="H33" s="321" t="s">
        <v>189</v>
      </c>
      <c r="I33" s="101"/>
      <c r="J33" s="101"/>
      <c r="K33" s="100"/>
      <c r="Z33" s="637" t="str">
        <f ca="1"/>
        <v>ART/RRT: MG20243487432</v>
      </c>
      <c r="AB33" s="92"/>
      <c r="AC33" s="92"/>
      <c r="AD33" s="234"/>
      <c r="AE33" s="234"/>
    </row>
  </sheetData>
  <sheetProtection password="BD1F" sheet="1" objects="1" scenarios="1" autoFilter="0"/>
  <autoFilter ref="F13:F33">
    <filterColumn colId="0">
      <filters>
        <filter val="F"/>
      </filters>
    </filterColumn>
  </autoFilter>
  <mergeCells count="17">
    <mergeCell ref="H32:J32"/>
    <mergeCell ref="AD4:AE4"/>
    <mergeCell ref="AD5:AE5"/>
    <mergeCell ref="Y8:AD8"/>
    <mergeCell ref="R12:R13"/>
    <mergeCell ref="S12:S13"/>
    <mergeCell ref="K8:S8"/>
    <mergeCell ref="T8:X8"/>
    <mergeCell ref="J10:S11"/>
    <mergeCell ref="H29:R29"/>
    <mergeCell ref="F8:F11"/>
    <mergeCell ref="H8:I8"/>
    <mergeCell ref="G7:G9"/>
    <mergeCell ref="H18:J19"/>
    <mergeCell ref="G12:G13"/>
    <mergeCell ref="H12:H13"/>
    <mergeCell ref="I12:I13"/>
  </mergeCells>
  <phoneticPr fontId="37" type="noConversion"/>
  <conditionalFormatting sqref="T12:T13">
    <cfRule type="expression" dxfId="95" priority="1951" stopIfTrue="1">
      <formula>NOT(ISNUMBER(S$12))</formula>
    </cfRule>
  </conditionalFormatting>
  <conditionalFormatting sqref="D2 T2:AF2 T15:AF15">
    <cfRule type="expression" dxfId="94" priority="1952" stopIfTrue="1">
      <formula>AND(ISNUMBER($G1),$G1&lt;&gt;0)</formula>
    </cfRule>
  </conditionalFormatting>
  <conditionalFormatting sqref="H2:R2">
    <cfRule type="expression" dxfId="93" priority="1953" stopIfTrue="1">
      <formula>$L1=2</formula>
    </cfRule>
    <cfRule type="expression" dxfId="92" priority="1954" stopIfTrue="1">
      <formula>AND($L1=1,$R1&lt;&gt;"")</formula>
    </cfRule>
  </conditionalFormatting>
  <conditionalFormatting sqref="H1:R1">
    <cfRule type="expression" dxfId="91" priority="1955" stopIfTrue="1">
      <formula>$L1=2</formula>
    </cfRule>
    <cfRule type="expression" dxfId="90" priority="1956" stopIfTrue="1">
      <formula>AND($L1=1,$R1&lt;&gt;"")</formula>
    </cfRule>
  </conditionalFormatting>
  <conditionalFormatting sqref="D18:D22 T19:AE19 T21:AE21">
    <cfRule type="expression" dxfId="89" priority="1957" stopIfTrue="1">
      <formula>D$18=0</formula>
    </cfRule>
  </conditionalFormatting>
  <conditionalFormatting sqref="D23:D27">
    <cfRule type="expression" dxfId="88" priority="1958" stopIfTrue="1">
      <formula>C$23=1</formula>
    </cfRule>
  </conditionalFormatting>
  <conditionalFormatting sqref="U23:AE23 U25:AE25 U27:AE27">
    <cfRule type="expression" dxfId="87" priority="1959" stopIfTrue="1">
      <formula>OFFSET(U$23,0,-1)&gt;=1</formula>
    </cfRule>
  </conditionalFormatting>
  <conditionalFormatting sqref="U24:AE24 U26:AE26">
    <cfRule type="expression" dxfId="86" priority="1960" stopIfTrue="1">
      <formula>OFFSET(U$23,0,-1)&gt;=1</formula>
    </cfRule>
  </conditionalFormatting>
  <conditionalFormatting sqref="T18:AE18 T20:AE20 T22:AE22">
    <cfRule type="expression" dxfId="85" priority="1961" stopIfTrue="1">
      <formula>T$18=0</formula>
    </cfRule>
  </conditionalFormatting>
  <conditionalFormatting sqref="AE7:AE8">
    <cfRule type="expression" dxfId="84" priority="1962" stopIfTrue="1">
      <formula>OR(TIPOORCAMENTO&lt;&gt;"Licitado",QCI.ExisteManual)</formula>
    </cfRule>
  </conditionalFormatting>
  <conditionalFormatting sqref="D1 D14 T1:AE1 T14:AE14">
    <cfRule type="expression" dxfId="83" priority="1963" stopIfTrue="1">
      <formula>D1&lt;&gt;0</formula>
    </cfRule>
  </conditionalFormatting>
  <conditionalFormatting sqref="Y7:AD8">
    <cfRule type="expression" dxfId="82" priority="1950" stopIfTrue="1">
      <formula>QCI.ExisteManual</formula>
    </cfRule>
  </conditionalFormatting>
  <conditionalFormatting sqref="D15">
    <cfRule type="expression" dxfId="81" priority="111" stopIfTrue="1">
      <formula>AND(ISNUMBER($G14),$G14&lt;&gt;0)</formula>
    </cfRule>
  </conditionalFormatting>
  <conditionalFormatting sqref="H15:R15">
    <cfRule type="expression" dxfId="80" priority="112" stopIfTrue="1">
      <formula>$L14=2</formula>
    </cfRule>
    <cfRule type="expression" dxfId="79" priority="113" stopIfTrue="1">
      <formula>AND($L14=1,$R14&lt;&gt;"")</formula>
    </cfRule>
  </conditionalFormatting>
  <conditionalFormatting sqref="H14:R14">
    <cfRule type="expression" dxfId="78" priority="114" stopIfTrue="1">
      <formula>$L14=2</formula>
    </cfRule>
    <cfRule type="expression" dxfId="77" priority="115" stopIfTrue="1">
      <formula>AND($L14=1,$R14&lt;&gt;"")</formula>
    </cfRule>
  </conditionalFormatting>
  <dataValidations count="5">
    <dataValidation type="list" allowBlank="1" showErrorMessage="1" sqref="G10">
      <formula1>"1,2,3,4"</formula1>
      <formula2>0</formula2>
    </dataValidation>
    <dataValidation allowBlank="1" showInputMessage="1" showErrorMessage="1" prompt="Preencha na célula de baixo. Se o acompanhamento for PLE, preencha no botão PREENCHIMENTO POR EVENTOS, acima." sqref="D1 D14 T1:AE1 T14:AE14"/>
    <dataValidation type="whole" operator="greaterThan" allowBlank="1" showErrorMessage="1" sqref="T12">
      <formula1>0</formula1>
      <formula2>0</formula2>
    </dataValidation>
    <dataValidation type="decimal" allowBlank="1" showErrorMessage="1" error="Porcentagem Acumulada &gt; 100%." sqref="D2 T15:AF15 T2:AF2 D15">
      <formula1>0</formula1>
      <formula2>CRONO.MaxParc</formula2>
    </dataValidation>
    <dataValidation type="date" operator="greaterThan" allowBlank="1" showInputMessage="1" showErrorMessage="1" errorTitle="Erro" error="Digite somente datas." sqref="T13">
      <formula1>36526</formula1>
    </dataValidation>
  </dataValidations>
  <pageMargins left="0.78740157480314998" right="0.78740157480314998" top="0.78740157480314998" bottom="0.78740157480314998" header="0.59055118110236204" footer="0.59055118110236204"/>
  <pageSetup paperSize="9" scale="66" firstPageNumber="0" orientation="landscape" r:id="rId1"/>
  <headerFooter alignWithMargins="0">
    <oddHeader>&amp;C&amp;14I</oddHeader>
    <oddFooter>&amp;LPMv3.0.6&amp;R&amp;P /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Plan10">
    <pageSetUpPr fitToPage="1"/>
  </sheetPr>
  <dimension ref="A1:AE65"/>
  <sheetViews>
    <sheetView showGridLines="0" zoomScale="90" zoomScaleNormal="90" workbookViewId="0">
      <pane xSplit="3" ySplit="13" topLeftCell="D14" activePane="bottomRight" state="frozen"/>
      <selection activeCell="A3" sqref="A3"/>
      <selection pane="topRight" activeCell="D3" sqref="D3"/>
      <selection pane="bottomLeft" activeCell="A13" sqref="A13"/>
      <selection pane="bottomRight" activeCell="R11" sqref="R11"/>
    </sheetView>
  </sheetViews>
  <sheetFormatPr defaultRowHeight="12.75"/>
  <cols>
    <col min="1" max="1" width="3.85546875" customWidth="1"/>
    <col min="2" max="2" width="8.140625" customWidth="1"/>
    <col min="3" max="3" width="36.85546875" customWidth="1"/>
    <col min="4" max="4" width="1.42578125" customWidth="1"/>
    <col min="5" max="6" width="0" hidden="1" customWidth="1"/>
    <col min="7" max="31" width="5.7109375" customWidth="1"/>
    <col min="32" max="32" width="2.140625" customWidth="1"/>
  </cols>
  <sheetData>
    <row r="1" spans="1:31" hidden="1">
      <c r="A1" s="9" t="e">
        <f ca="1">IF(AUTOEVENTO="Manual",IF(OFFSET(EVENTOS!$F$14,CRONOPLE!$B1,0)&gt;0,"F",""),IF(CRONOPLE!B1&lt;=MAX(CÁLCULO!$M$15:$M$43),"F",""))</f>
        <v>#REF!</v>
      </c>
      <c r="B1" s="322" t="e">
        <f ca="1">OFFSET(B1,-1,0)+1</f>
        <v>#REF!</v>
      </c>
      <c r="C1" s="323" t="e">
        <f ca="1">IF(AUTOEVENTO="Manual",IF($B1&lt;&gt;1,OFFSET(EVENTOS!$D$14,$B1,0),0),IF(B1&lt;=MAX(CÁLCULO!$M$15:$M$43),VLOOKUP($B1,CÁLCULO!$M$15:$N$43,2,FALSE),0))</f>
        <v>#REF!</v>
      </c>
      <c r="E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</row>
    <row r="2" spans="1:31" hidden="1"/>
    <row r="3" spans="1:31" hidden="1"/>
    <row r="4" spans="1:31" hidden="1"/>
    <row r="5" spans="1:31" ht="15.75">
      <c r="B5" s="98" t="s">
        <v>288</v>
      </c>
    </row>
    <row r="7" spans="1:31">
      <c r="B7" t="s">
        <v>289</v>
      </c>
    </row>
    <row r="9" spans="1:31" ht="15">
      <c r="B9" s="325" t="str">
        <f ca="1">IF(ACOMPANHAMENTO="BM","NO ACOMPANHAMENTO POR BM, UTILIZE A ABA CRONO",IF(MAX($B$14:$B$65)&lt;MAX(CÁLCULO!$M$15:$M$43),"ERRO: NÚMERO DE EVENTOS INSUFICIENTE, CLIQUE EM ATUALIZAR LINHAS",IF(ROUND(OFFSET(CRONO!$AF$27,0,-1),2)&lt;&gt;CRONO!$Q$18,"ERRO: CRONOGRAMA NÃO FECHA 100%","")))</f>
        <v>NO ACOMPANHAMENTO POR BM, UTILIZE A ABA CRONO</v>
      </c>
    </row>
    <row r="11" spans="1:31" ht="65.25" customHeight="1">
      <c r="A11" s="326"/>
      <c r="C11" s="327"/>
      <c r="E11" s="328">
        <f ca="1">IF(E$12&gt;CÁLCULO.NúmeroDeFrentes,"",OFFSET(CÁLCULO!$P$12,0,E$12))</f>
        <v>0</v>
      </c>
      <c r="G11" s="328">
        <f ca="1">IF(G$12&gt;CÁLCULO.NúmeroDeFrentes,"",OFFSET(CÁLCULO!$P$12,0,G$12))</f>
        <v>0</v>
      </c>
      <c r="H11" s="328">
        <f ca="1">IF(H$12&gt;CÁLCULO.NúmeroDeFrentes,"",OFFSET(CÁLCULO!$P$12,0,H$12))</f>
        <v>0</v>
      </c>
      <c r="I11" s="328">
        <f ca="1">IF(I$12&gt;CÁLCULO.NúmeroDeFrentes,"",OFFSET(CÁLCULO!$P$12,0,I$12))</f>
        <v>0</v>
      </c>
      <c r="J11" s="328">
        <f ca="1">IF(J$12&gt;CÁLCULO.NúmeroDeFrentes,"",OFFSET(CÁLCULO!$P$12,0,J$12))</f>
        <v>0</v>
      </c>
      <c r="K11" s="328">
        <f ca="1">IF(K$12&gt;CÁLCULO.NúmeroDeFrentes,"",OFFSET(CÁLCULO!$P$12,0,K$12))</f>
        <v>0</v>
      </c>
      <c r="L11" s="328">
        <f ca="1">IF(L$12&gt;CÁLCULO.NúmeroDeFrentes,"",OFFSET(CÁLCULO!$P$12,0,L$12))</f>
        <v>0</v>
      </c>
      <c r="M11" s="328">
        <f ca="1">IF(M$12&gt;CÁLCULO.NúmeroDeFrentes,"",OFFSET(CÁLCULO!$P$12,0,M$12))</f>
        <v>0</v>
      </c>
      <c r="N11" s="328">
        <f ca="1">IF(N$12&gt;CÁLCULO.NúmeroDeFrentes,"",OFFSET(CÁLCULO!$P$12,0,N$12))</f>
        <v>0</v>
      </c>
      <c r="O11" s="328">
        <f ca="1">IF(O$12&gt;CÁLCULO.NúmeroDeFrentes,"",OFFSET(CÁLCULO!$P$12,0,O$12))</f>
        <v>0</v>
      </c>
      <c r="P11" s="328">
        <f ca="1">IF(P$12&gt;CÁLCULO.NúmeroDeFrentes,"",OFFSET(CÁLCULO!$P$12,0,P$12))</f>
        <v>0</v>
      </c>
      <c r="Q11" s="328" t="str">
        <f ca="1">IF(Q$12&gt;CÁLCULO.NúmeroDeFrentes,"",OFFSET(CÁLCULO!$P$12,0,Q$12))</f>
        <v/>
      </c>
      <c r="R11" s="328" t="str">
        <f ca="1">IF(R$12&gt;CÁLCULO.NúmeroDeFrentes,"",OFFSET(CÁLCULO!$P$12,0,R$12))</f>
        <v/>
      </c>
      <c r="S11" s="328" t="str">
        <f ca="1">IF(S$12&gt;CÁLCULO.NúmeroDeFrentes,"",OFFSET(CÁLCULO!$P$12,0,S$12))</f>
        <v/>
      </c>
      <c r="T11" s="328" t="str">
        <f ca="1">IF(T$12&gt;CÁLCULO.NúmeroDeFrentes,"",OFFSET(CÁLCULO!$P$12,0,T$12))</f>
        <v/>
      </c>
      <c r="U11" s="328" t="str">
        <f ca="1">IF(U$12&gt;CÁLCULO.NúmeroDeFrentes,"",OFFSET(CÁLCULO!$P$12,0,U$12))</f>
        <v/>
      </c>
      <c r="V11" s="328" t="str">
        <f ca="1">IF(V$12&gt;CÁLCULO.NúmeroDeFrentes,"",OFFSET(CÁLCULO!$P$12,0,V$12))</f>
        <v/>
      </c>
      <c r="W11" s="328" t="str">
        <f ca="1">IF(W$12&gt;CÁLCULO.NúmeroDeFrentes,"",OFFSET(CÁLCULO!$P$12,0,W$12))</f>
        <v/>
      </c>
      <c r="X11" s="328" t="str">
        <f ca="1">IF(X$12&gt;CÁLCULO.NúmeroDeFrentes,"",OFFSET(CÁLCULO!$P$12,0,X$12))</f>
        <v/>
      </c>
      <c r="Y11" s="328" t="str">
        <f ca="1">IF(Y$12&gt;CÁLCULO.NúmeroDeFrentes,"",OFFSET(CÁLCULO!$P$12,0,Y$12))</f>
        <v/>
      </c>
      <c r="Z11" s="328" t="str">
        <f ca="1">IF(Z$12&gt;CÁLCULO.NúmeroDeFrentes,"",OFFSET(CÁLCULO!$P$12,0,Z$12))</f>
        <v/>
      </c>
      <c r="AA11" s="328" t="str">
        <f ca="1">IF(AA$12&gt;CÁLCULO.NúmeroDeFrentes,"",OFFSET(CÁLCULO!$P$12,0,AA$12))</f>
        <v/>
      </c>
      <c r="AB11" s="328" t="str">
        <f ca="1">IF(AB$12&gt;CÁLCULO.NúmeroDeFrentes,"",OFFSET(CÁLCULO!$P$12,0,AB$12))</f>
        <v/>
      </c>
      <c r="AC11" s="328" t="str">
        <f ca="1">IF(AC$12&gt;CÁLCULO.NúmeroDeFrentes,"",OFFSET(CÁLCULO!$P$12,0,AC$12))</f>
        <v/>
      </c>
      <c r="AD11" s="328" t="str">
        <f ca="1">IF(AD$12&gt;CÁLCULO.NúmeroDeFrentes,"",OFFSET(CÁLCULO!$P$12,0,AD$12))</f>
        <v/>
      </c>
      <c r="AE11" s="328" t="str">
        <f ca="1">IF(AE$12&gt;CÁLCULO.NúmeroDeFrentes,"",OFFSET(CÁLCULO!$P$12,0,AE$12))</f>
        <v/>
      </c>
    </row>
    <row r="12" spans="1:31" ht="12.75" customHeight="1">
      <c r="A12" s="131"/>
      <c r="B12" s="741" t="s">
        <v>266</v>
      </c>
      <c r="C12" s="741" t="s">
        <v>291</v>
      </c>
      <c r="E12" s="329">
        <f ca="1">OFFSET(E12,0,-1)+1</f>
        <v>1</v>
      </c>
      <c r="G12" s="329">
        <f ca="1">OFFSET(G12,0,-1)+1</f>
        <v>1</v>
      </c>
      <c r="H12" s="329">
        <f ca="1">OFFSET(H12,0,-1)+1</f>
        <v>2</v>
      </c>
      <c r="I12" s="329">
        <f t="shared" ref="I12:AE12" ca="1" si="0">OFFSET(I12,0,-1)+1</f>
        <v>3</v>
      </c>
      <c r="J12" s="329">
        <f t="shared" ca="1" si="0"/>
        <v>4</v>
      </c>
      <c r="K12" s="329">
        <f t="shared" ca="1" si="0"/>
        <v>5</v>
      </c>
      <c r="L12" s="329">
        <f t="shared" ca="1" si="0"/>
        <v>6</v>
      </c>
      <c r="M12" s="329">
        <f t="shared" ca="1" si="0"/>
        <v>7</v>
      </c>
      <c r="N12" s="329">
        <f t="shared" ca="1" si="0"/>
        <v>8</v>
      </c>
      <c r="O12" s="329">
        <f t="shared" ca="1" si="0"/>
        <v>9</v>
      </c>
      <c r="P12" s="329">
        <f t="shared" ca="1" si="0"/>
        <v>10</v>
      </c>
      <c r="Q12" s="329">
        <f t="shared" ca="1" si="0"/>
        <v>11</v>
      </c>
      <c r="R12" s="329">
        <f t="shared" ca="1" si="0"/>
        <v>12</v>
      </c>
      <c r="S12" s="329">
        <f t="shared" ca="1" si="0"/>
        <v>13</v>
      </c>
      <c r="T12" s="329">
        <f t="shared" ca="1" si="0"/>
        <v>14</v>
      </c>
      <c r="U12" s="329">
        <f t="shared" ca="1" si="0"/>
        <v>15</v>
      </c>
      <c r="V12" s="329">
        <f t="shared" ca="1" si="0"/>
        <v>16</v>
      </c>
      <c r="W12" s="329">
        <f t="shared" ca="1" si="0"/>
        <v>17</v>
      </c>
      <c r="X12" s="329">
        <f t="shared" ca="1" si="0"/>
        <v>18</v>
      </c>
      <c r="Y12" s="329">
        <f t="shared" ca="1" si="0"/>
        <v>19</v>
      </c>
      <c r="Z12" s="329">
        <f t="shared" ca="1" si="0"/>
        <v>20</v>
      </c>
      <c r="AA12" s="329">
        <f t="shared" ca="1" si="0"/>
        <v>21</v>
      </c>
      <c r="AB12" s="329">
        <f t="shared" ca="1" si="0"/>
        <v>22</v>
      </c>
      <c r="AC12" s="329">
        <f t="shared" ca="1" si="0"/>
        <v>23</v>
      </c>
      <c r="AD12" s="329">
        <f t="shared" ca="1" si="0"/>
        <v>24</v>
      </c>
      <c r="AE12" s="329">
        <f t="shared" ca="1" si="0"/>
        <v>25</v>
      </c>
    </row>
    <row r="13" spans="1:31">
      <c r="B13" s="741"/>
      <c r="C13" s="741"/>
      <c r="E13" s="330"/>
      <c r="G13" s="331"/>
      <c r="H13" s="330"/>
      <c r="I13" s="330"/>
      <c r="J13" s="330"/>
      <c r="K13" s="330"/>
      <c r="L13" s="330"/>
      <c r="M13" s="330" t="s">
        <v>292</v>
      </c>
      <c r="N13" s="330"/>
      <c r="O13" s="330"/>
      <c r="P13" s="330"/>
      <c r="Q13" s="330"/>
      <c r="R13" s="330"/>
      <c r="S13" s="330"/>
      <c r="T13" s="330"/>
      <c r="U13" s="330"/>
      <c r="V13" s="330"/>
      <c r="W13" s="330"/>
      <c r="X13" s="330"/>
      <c r="Y13" s="330"/>
      <c r="Z13" s="330"/>
      <c r="AA13" s="330"/>
      <c r="AB13" s="330"/>
      <c r="AC13" s="330"/>
      <c r="AD13" s="330"/>
      <c r="AE13" s="332"/>
    </row>
    <row r="14" spans="1:31" ht="7.5" customHeight="1">
      <c r="A14" s="9"/>
    </row>
    <row r="15" spans="1:31">
      <c r="A15" s="9"/>
      <c r="B15" s="333">
        <v>1</v>
      </c>
      <c r="C15" s="334" t="s">
        <v>269</v>
      </c>
      <c r="E15" s="335"/>
      <c r="G15" s="336" t="str">
        <f ca="1">IF(AUTOEVENTO="MANUAL","A administração local será proporcional a execução dos demais eventos, independente de frentes de obra.","Para aplicação de Adm. Local é necessário definir os eventos manualmente.")</f>
        <v>Para aplicação de Adm. Local é necessário definir os eventos manualmente.</v>
      </c>
      <c r="H15" s="335"/>
      <c r="I15" s="335"/>
      <c r="J15" s="335"/>
      <c r="K15" s="335"/>
      <c r="L15" s="335"/>
      <c r="M15" s="335"/>
      <c r="N15" s="335"/>
      <c r="O15" s="335"/>
      <c r="P15" s="335"/>
      <c r="Q15" s="335"/>
      <c r="R15" s="335"/>
      <c r="S15" s="335"/>
      <c r="T15" s="335"/>
      <c r="U15" s="335"/>
      <c r="V15" s="335"/>
      <c r="W15" s="335"/>
      <c r="X15" s="335"/>
      <c r="Y15" s="335"/>
      <c r="Z15" s="335"/>
      <c r="AA15" s="335"/>
      <c r="AB15" s="335"/>
      <c r="AC15" s="335"/>
      <c r="AD15" s="335"/>
      <c r="AE15" s="337"/>
    </row>
    <row r="16" spans="1:31">
      <c r="A16" s="9" t="str">
        <f ca="1">IF(AUTOEVENTO="Manual",IF(OFFSET(EVENTOS!$F$14,CRONOPLE!$B16,0)&gt;0,"F",""),IF(CRONOPLE!B16&lt;=MAX(CÁLCULO!$M$15:$M$43),"F",""))</f>
        <v>F</v>
      </c>
      <c r="B16" s="322">
        <f t="shared" ref="B16:B64" ca="1" si="1">OFFSET(B16,-1,0)+1</f>
        <v>2</v>
      </c>
      <c r="C16" s="323" t="str">
        <f ca="1">IF(AUTOEVENTO="Manual",IF($B16&lt;&gt;1,OFFSET(EVENTOS!$D$14,$B16,0),0),IF(B16&lt;=MAX(CÁLCULO!$M$15:$M$43),VLOOKUP($B16,CÁLCULO!$M$15:$N$43,2,FALSE),0))</f>
        <v>INSTALAÇÕES INICIAIS DA OBRA</v>
      </c>
      <c r="E16" s="324"/>
      <c r="G16" s="324"/>
      <c r="H16" s="324"/>
      <c r="I16" s="324"/>
      <c r="J16" s="324"/>
      <c r="K16" s="324"/>
      <c r="L16" s="324"/>
      <c r="M16" s="324"/>
      <c r="N16" s="324"/>
      <c r="O16" s="324"/>
      <c r="P16" s="324"/>
      <c r="Q16" s="324"/>
      <c r="R16" s="324"/>
      <c r="S16" s="324"/>
      <c r="T16" s="324"/>
      <c r="U16" s="324"/>
      <c r="V16" s="324"/>
      <c r="W16" s="324"/>
      <c r="X16" s="324"/>
      <c r="Y16" s="324"/>
      <c r="Z16" s="324"/>
      <c r="AA16" s="324"/>
      <c r="AB16" s="324"/>
      <c r="AC16" s="324"/>
      <c r="AD16" s="324"/>
      <c r="AE16" s="324"/>
    </row>
    <row r="17" spans="1:31">
      <c r="A17" s="9" t="str">
        <f ca="1">IF(AUTOEVENTO="Manual",IF(OFFSET(EVENTOS!$F$14,CRONOPLE!$B17,0)&gt;0,"F",""),IF(CRONOPLE!B17&lt;=MAX(CÁLCULO!$M$15:$M$43),"F",""))</f>
        <v>F</v>
      </c>
      <c r="B17" s="322">
        <f t="shared" ca="1" si="1"/>
        <v>3</v>
      </c>
      <c r="C17" s="323" t="str">
        <f ca="1">IF(AUTOEVENTO="Manual",IF($B17&lt;&gt;1,OFFSET(EVENTOS!$D$14,$B17,0),0),IF(B17&lt;=MAX(CÁLCULO!$M$15:$M$43),VLOOKUP($B17,CÁLCULO!$M$15:$N$43,2,FALSE),0))</f>
        <v>ADMINISTRAÇÃO DE OBRA</v>
      </c>
      <c r="E17" s="324"/>
      <c r="G17" s="324"/>
      <c r="H17" s="324"/>
      <c r="I17" s="324"/>
      <c r="J17" s="324"/>
      <c r="K17" s="324"/>
      <c r="L17" s="324"/>
      <c r="M17" s="324"/>
      <c r="N17" s="324"/>
      <c r="O17" s="324"/>
      <c r="P17" s="324"/>
      <c r="Q17" s="324"/>
      <c r="R17" s="324"/>
      <c r="S17" s="324"/>
      <c r="T17" s="324"/>
      <c r="U17" s="324"/>
      <c r="V17" s="324"/>
      <c r="W17" s="324"/>
      <c r="X17" s="324"/>
      <c r="Y17" s="324"/>
      <c r="Z17" s="324"/>
      <c r="AA17" s="324"/>
      <c r="AB17" s="324"/>
      <c r="AC17" s="324"/>
      <c r="AD17" s="324"/>
      <c r="AE17" s="324"/>
    </row>
    <row r="18" spans="1:31">
      <c r="A18" s="9" t="str">
        <f ca="1">IF(AUTOEVENTO="Manual",IF(OFFSET(EVENTOS!$F$14,CRONOPLE!$B18,0)&gt;0,"F",""),IF(CRONOPLE!B18&lt;=MAX(CÁLCULO!$M$15:$M$43),"F",""))</f>
        <v>F</v>
      </c>
      <c r="B18" s="322">
        <f t="shared" ca="1" si="1"/>
        <v>4</v>
      </c>
      <c r="C18" s="323" t="str">
        <f ca="1">IF(AUTOEVENTO="Manual",IF($B18&lt;&gt;1,OFFSET(EVENTOS!$D$14,$B18,0),0),IF(B18&lt;=MAX(CÁLCULO!$M$15:$M$43),VLOOKUP($B18,CÁLCULO!$M$15:$N$43,2,FALSE),0))</f>
        <v>MOBILIZAÇÃO</v>
      </c>
      <c r="E18" s="324"/>
      <c r="G18" s="324"/>
      <c r="H18" s="324"/>
      <c r="I18" s="324"/>
      <c r="J18" s="324"/>
      <c r="K18" s="324"/>
      <c r="L18" s="324"/>
      <c r="M18" s="324"/>
      <c r="N18" s="324"/>
      <c r="O18" s="324"/>
      <c r="P18" s="324"/>
      <c r="Q18" s="324"/>
      <c r="R18" s="324"/>
      <c r="S18" s="324"/>
      <c r="T18" s="324"/>
      <c r="U18" s="324"/>
      <c r="V18" s="324"/>
      <c r="W18" s="324"/>
      <c r="X18" s="324"/>
      <c r="Y18" s="324"/>
      <c r="Z18" s="324"/>
      <c r="AA18" s="324"/>
      <c r="AB18" s="324"/>
      <c r="AC18" s="324"/>
      <c r="AD18" s="324"/>
      <c r="AE18" s="324"/>
    </row>
    <row r="19" spans="1:31">
      <c r="A19" s="9" t="str">
        <f ca="1">IF(AUTOEVENTO="Manual",IF(OFFSET(EVENTOS!$F$14,CRONOPLE!$B19,0)&gt;0,"F",""),IF(CRONOPLE!B19&lt;=MAX(CÁLCULO!$M$15:$M$43),"F",""))</f>
        <v>F</v>
      </c>
      <c r="B19" s="322">
        <f t="shared" ca="1" si="1"/>
        <v>5</v>
      </c>
      <c r="C19" s="323" t="str">
        <f ca="1">IF(AUTOEVENTO="Manual",IF($B19&lt;&gt;1,OFFSET(EVENTOS!$D$14,$B19,0),0),IF(B19&lt;=MAX(CÁLCULO!$M$15:$M$43),VLOOKUP($B19,CÁLCULO!$M$15:$N$43,2,FALSE),0))</f>
        <v>RECAPEAMENTO ASFÁLTICO</v>
      </c>
      <c r="E19" s="324"/>
      <c r="G19" s="324"/>
      <c r="H19" s="324"/>
      <c r="I19" s="324"/>
      <c r="J19" s="324"/>
      <c r="K19" s="324"/>
      <c r="L19" s="324"/>
      <c r="M19" s="324"/>
      <c r="N19" s="324"/>
      <c r="O19" s="324"/>
      <c r="P19" s="324"/>
      <c r="Q19" s="324"/>
      <c r="R19" s="324"/>
      <c r="S19" s="324"/>
      <c r="T19" s="324"/>
      <c r="U19" s="324"/>
      <c r="V19" s="324"/>
      <c r="W19" s="324"/>
      <c r="X19" s="324"/>
      <c r="Y19" s="324"/>
      <c r="Z19" s="324"/>
      <c r="AA19" s="324"/>
      <c r="AB19" s="324"/>
      <c r="AC19" s="324"/>
      <c r="AD19" s="324"/>
      <c r="AE19" s="324"/>
    </row>
    <row r="20" spans="1:31">
      <c r="A20" s="9" t="str">
        <f ca="1">IF(AUTOEVENTO="Manual",IF(OFFSET(EVENTOS!$F$14,CRONOPLE!$B20,0)&gt;0,"F",""),IF(CRONOPLE!B20&lt;=MAX(CÁLCULO!$M$15:$M$43),"F",""))</f>
        <v>F</v>
      </c>
      <c r="B20" s="322">
        <f t="shared" ca="1" si="1"/>
        <v>6</v>
      </c>
      <c r="C20" s="323" t="str">
        <f ca="1">IF(AUTOEVENTO="Manual",IF($B20&lt;&gt;1,OFFSET(EVENTOS!$D$14,$B20,0),0),IF(B20&lt;=MAX(CÁLCULO!$M$15:$M$43),VLOOKUP($B20,CÁLCULO!$M$15:$N$43,2,FALSE),0))</f>
        <v>SINALIZAÇÃO VERTICAL</v>
      </c>
      <c r="E20" s="324"/>
      <c r="G20" s="324"/>
      <c r="H20" s="324"/>
      <c r="I20" s="324"/>
      <c r="J20" s="324"/>
      <c r="K20" s="324"/>
      <c r="L20" s="324"/>
      <c r="M20" s="324"/>
      <c r="N20" s="324"/>
      <c r="O20" s="324"/>
      <c r="P20" s="324"/>
      <c r="Q20" s="324"/>
      <c r="R20" s="324"/>
      <c r="S20" s="324"/>
      <c r="T20" s="324"/>
      <c r="U20" s="324"/>
      <c r="V20" s="324"/>
      <c r="W20" s="324"/>
      <c r="X20" s="324"/>
      <c r="Y20" s="324"/>
      <c r="Z20" s="324"/>
      <c r="AA20" s="324"/>
      <c r="AB20" s="324"/>
      <c r="AC20" s="324"/>
      <c r="AD20" s="324"/>
      <c r="AE20" s="324"/>
    </row>
    <row r="21" spans="1:31">
      <c r="A21" s="9" t="str">
        <f ca="1">IF(AUTOEVENTO="Manual",IF(OFFSET(EVENTOS!$F$14,CRONOPLE!$B21,0)&gt;0,"F",""),IF(CRONOPLE!B21&lt;=MAX(CÁLCULO!$M$15:$M$43),"F",""))</f>
        <v>F</v>
      </c>
      <c r="B21" s="322">
        <f t="shared" ca="1" si="1"/>
        <v>7</v>
      </c>
      <c r="C21" s="323" t="str">
        <f ca="1">IF(AUTOEVENTO="Manual",IF($B21&lt;&gt;1,OFFSET(EVENTOS!$D$14,$B21,0),0),IF(B21&lt;=MAX(CÁLCULO!$M$15:$M$43),VLOOKUP($B21,CÁLCULO!$M$15:$N$43,2,FALSE),0))</f>
        <v>SINALIZAÇÃO HORIZONTAL</v>
      </c>
      <c r="E21" s="324"/>
      <c r="G21" s="324"/>
      <c r="H21" s="324"/>
      <c r="I21" s="324"/>
      <c r="J21" s="324"/>
      <c r="K21" s="324"/>
      <c r="L21" s="324"/>
      <c r="M21" s="324"/>
      <c r="N21" s="324"/>
      <c r="O21" s="324"/>
      <c r="P21" s="324"/>
      <c r="Q21" s="324"/>
      <c r="R21" s="324"/>
      <c r="S21" s="324"/>
      <c r="T21" s="324"/>
      <c r="U21" s="324"/>
      <c r="V21" s="324"/>
      <c r="W21" s="324"/>
      <c r="X21" s="324"/>
      <c r="Y21" s="324"/>
      <c r="Z21" s="324"/>
      <c r="AA21" s="324"/>
      <c r="AB21" s="324"/>
      <c r="AC21" s="324"/>
      <c r="AD21" s="324"/>
      <c r="AE21" s="324"/>
    </row>
    <row r="22" spans="1:31">
      <c r="A22" s="9" t="str">
        <f ca="1">IF(AUTOEVENTO="Manual",IF(OFFSET(EVENTOS!$F$14,CRONOPLE!$B22,0)&gt;0,"F",""),IF(CRONOPLE!B22&lt;=MAX(CÁLCULO!$M$15:$M$43),"F",""))</f>
        <v/>
      </c>
      <c r="B22" s="322">
        <f t="shared" ca="1" si="1"/>
        <v>8</v>
      </c>
      <c r="C22" s="323">
        <f ca="1">IF(AUTOEVENTO="Manual",IF($B22&lt;&gt;1,OFFSET(EVENTOS!$D$14,$B22,0),0),IF(B22&lt;=MAX(CÁLCULO!$M$15:$M$43),VLOOKUP($B22,CÁLCULO!$M$15:$N$43,2,FALSE),0))</f>
        <v>0</v>
      </c>
      <c r="E22" s="324"/>
      <c r="G22" s="324"/>
      <c r="H22" s="324"/>
      <c r="I22" s="324"/>
      <c r="J22" s="324"/>
      <c r="K22" s="324"/>
      <c r="L22" s="324"/>
      <c r="M22" s="324"/>
      <c r="N22" s="324"/>
      <c r="O22" s="324"/>
      <c r="P22" s="324"/>
      <c r="Q22" s="324"/>
      <c r="R22" s="324"/>
      <c r="S22" s="324"/>
      <c r="T22" s="324"/>
      <c r="U22" s="324"/>
      <c r="V22" s="324"/>
      <c r="W22" s="324"/>
      <c r="X22" s="324"/>
      <c r="Y22" s="324"/>
      <c r="Z22" s="324"/>
      <c r="AA22" s="324"/>
      <c r="AB22" s="324"/>
      <c r="AC22" s="324"/>
      <c r="AD22" s="324"/>
      <c r="AE22" s="324"/>
    </row>
    <row r="23" spans="1:31">
      <c r="A23" s="9" t="str">
        <f ca="1">IF(AUTOEVENTO="Manual",IF(OFFSET(EVENTOS!$F$14,CRONOPLE!$B23,0)&gt;0,"F",""),IF(CRONOPLE!B23&lt;=MAX(CÁLCULO!$M$15:$M$43),"F",""))</f>
        <v/>
      </c>
      <c r="B23" s="322">
        <f t="shared" ca="1" si="1"/>
        <v>9</v>
      </c>
      <c r="C23" s="323">
        <f ca="1">IF(AUTOEVENTO="Manual",IF($B23&lt;&gt;1,OFFSET(EVENTOS!$D$14,$B23,0),0),IF(B23&lt;=MAX(CÁLCULO!$M$15:$M$43),VLOOKUP($B23,CÁLCULO!$M$15:$N$43,2,FALSE),0))</f>
        <v>0</v>
      </c>
      <c r="E23" s="324"/>
      <c r="G23" s="324"/>
      <c r="H23" s="324"/>
      <c r="I23" s="324"/>
      <c r="J23" s="324"/>
      <c r="K23" s="324"/>
      <c r="L23" s="324"/>
      <c r="M23" s="324"/>
      <c r="N23" s="324"/>
      <c r="O23" s="324"/>
      <c r="P23" s="324"/>
      <c r="Q23" s="324"/>
      <c r="R23" s="324"/>
      <c r="S23" s="324"/>
      <c r="T23" s="324"/>
      <c r="U23" s="324"/>
      <c r="V23" s="324"/>
      <c r="W23" s="324"/>
      <c r="X23" s="324"/>
      <c r="Y23" s="324"/>
      <c r="Z23" s="324"/>
      <c r="AA23" s="324"/>
      <c r="AB23" s="324"/>
      <c r="AC23" s="324"/>
      <c r="AD23" s="324"/>
      <c r="AE23" s="324"/>
    </row>
    <row r="24" spans="1:31">
      <c r="A24" s="9" t="str">
        <f ca="1">IF(AUTOEVENTO="Manual",IF(OFFSET(EVENTOS!$F$14,CRONOPLE!$B24,0)&gt;0,"F",""),IF(CRONOPLE!B24&lt;=MAX(CÁLCULO!$M$15:$M$43),"F",""))</f>
        <v/>
      </c>
      <c r="B24" s="322">
        <f t="shared" ca="1" si="1"/>
        <v>10</v>
      </c>
      <c r="C24" s="323">
        <f ca="1">IF(AUTOEVENTO="Manual",IF($B24&lt;&gt;1,OFFSET(EVENTOS!$D$14,$B24,0),0),IF(B24&lt;=MAX(CÁLCULO!$M$15:$M$43),VLOOKUP($B24,CÁLCULO!$M$15:$N$43,2,FALSE),0))</f>
        <v>0</v>
      </c>
      <c r="E24" s="324"/>
      <c r="G24" s="324"/>
      <c r="H24" s="324"/>
      <c r="I24" s="324"/>
      <c r="J24" s="324"/>
      <c r="K24" s="324"/>
      <c r="L24" s="324"/>
      <c r="M24" s="324"/>
      <c r="N24" s="324"/>
      <c r="O24" s="324"/>
      <c r="P24" s="324"/>
      <c r="Q24" s="324"/>
      <c r="R24" s="324"/>
      <c r="S24" s="324"/>
      <c r="T24" s="324"/>
      <c r="U24" s="324"/>
      <c r="V24" s="324"/>
      <c r="W24" s="324"/>
      <c r="X24" s="324"/>
      <c r="Y24" s="324"/>
      <c r="Z24" s="324"/>
      <c r="AA24" s="324"/>
      <c r="AB24" s="324"/>
      <c r="AC24" s="324"/>
      <c r="AD24" s="324"/>
      <c r="AE24" s="324"/>
    </row>
    <row r="25" spans="1:31">
      <c r="A25" s="9" t="str">
        <f ca="1">IF(AUTOEVENTO="Manual",IF(OFFSET(EVENTOS!$F$14,CRONOPLE!$B25,0)&gt;0,"F",""),IF(CRONOPLE!B25&lt;=MAX(CÁLCULO!$M$15:$M$43),"F",""))</f>
        <v/>
      </c>
      <c r="B25" s="322">
        <f t="shared" ca="1" si="1"/>
        <v>11</v>
      </c>
      <c r="C25" s="323">
        <f ca="1">IF(AUTOEVENTO="Manual",IF($B25&lt;&gt;1,OFFSET(EVENTOS!$D$14,$B25,0),0),IF(B25&lt;=MAX(CÁLCULO!$M$15:$M$43),VLOOKUP($B25,CÁLCULO!$M$15:$N$43,2,FALSE),0))</f>
        <v>0</v>
      </c>
      <c r="E25" s="324"/>
      <c r="G25" s="324"/>
      <c r="H25" s="324"/>
      <c r="I25" s="324"/>
      <c r="J25" s="324"/>
      <c r="K25" s="324"/>
      <c r="L25" s="324"/>
      <c r="M25" s="324"/>
      <c r="N25" s="324"/>
      <c r="O25" s="324"/>
      <c r="P25" s="324"/>
      <c r="Q25" s="324"/>
      <c r="R25" s="324"/>
      <c r="S25" s="324"/>
      <c r="T25" s="324"/>
      <c r="U25" s="324"/>
      <c r="V25" s="324"/>
      <c r="W25" s="324"/>
      <c r="X25" s="324"/>
      <c r="Y25" s="324"/>
      <c r="Z25" s="324"/>
      <c r="AA25" s="324"/>
      <c r="AB25" s="324"/>
      <c r="AC25" s="324"/>
      <c r="AD25" s="324"/>
      <c r="AE25" s="324"/>
    </row>
    <row r="26" spans="1:31">
      <c r="A26" s="9" t="str">
        <f ca="1">IF(AUTOEVENTO="Manual",IF(OFFSET(EVENTOS!$F$14,CRONOPLE!$B26,0)&gt;0,"F",""),IF(CRONOPLE!B26&lt;=MAX(CÁLCULO!$M$15:$M$43),"F",""))</f>
        <v/>
      </c>
      <c r="B26" s="322">
        <f t="shared" ca="1" si="1"/>
        <v>12</v>
      </c>
      <c r="C26" s="323">
        <f ca="1">IF(AUTOEVENTO="Manual",IF($B26&lt;&gt;1,OFFSET(EVENTOS!$D$14,$B26,0),0),IF(B26&lt;=MAX(CÁLCULO!$M$15:$M$43),VLOOKUP($B26,CÁLCULO!$M$15:$N$43,2,FALSE),0))</f>
        <v>0</v>
      </c>
      <c r="E26" s="324"/>
      <c r="G26" s="324"/>
      <c r="H26" s="324"/>
      <c r="I26" s="324"/>
      <c r="J26" s="324"/>
      <c r="K26" s="324"/>
      <c r="L26" s="324"/>
      <c r="M26" s="324"/>
      <c r="N26" s="324"/>
      <c r="O26" s="324"/>
      <c r="P26" s="324"/>
      <c r="Q26" s="324"/>
      <c r="R26" s="324"/>
      <c r="S26" s="324"/>
      <c r="T26" s="324"/>
      <c r="U26" s="324"/>
      <c r="V26" s="324"/>
      <c r="W26" s="324"/>
      <c r="X26" s="324"/>
      <c r="Y26" s="324"/>
      <c r="Z26" s="324"/>
      <c r="AA26" s="324"/>
      <c r="AB26" s="324"/>
      <c r="AC26" s="324"/>
      <c r="AD26" s="324"/>
      <c r="AE26" s="324"/>
    </row>
    <row r="27" spans="1:31">
      <c r="A27" s="9" t="str">
        <f ca="1">IF(AUTOEVENTO="Manual",IF(OFFSET(EVENTOS!$F$14,CRONOPLE!$B27,0)&gt;0,"F",""),IF(CRONOPLE!B27&lt;=MAX(CÁLCULO!$M$15:$M$43),"F",""))</f>
        <v/>
      </c>
      <c r="B27" s="322">
        <f t="shared" ca="1" si="1"/>
        <v>13</v>
      </c>
      <c r="C27" s="323">
        <f ca="1">IF(AUTOEVENTO="Manual",IF($B27&lt;&gt;1,OFFSET(EVENTOS!$D$14,$B27,0),0),IF(B27&lt;=MAX(CÁLCULO!$M$15:$M$43),VLOOKUP($B27,CÁLCULO!$M$15:$N$43,2,FALSE),0))</f>
        <v>0</v>
      </c>
      <c r="E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4"/>
      <c r="T27" s="324"/>
      <c r="U27" s="324"/>
      <c r="V27" s="324"/>
      <c r="W27" s="324"/>
      <c r="X27" s="324"/>
      <c r="Y27" s="324"/>
      <c r="Z27" s="324"/>
      <c r="AA27" s="324"/>
      <c r="AB27" s="324"/>
      <c r="AC27" s="324"/>
      <c r="AD27" s="324"/>
      <c r="AE27" s="324"/>
    </row>
    <row r="28" spans="1:31">
      <c r="A28" s="9" t="str">
        <f ca="1">IF(AUTOEVENTO="Manual",IF(OFFSET(EVENTOS!$F$14,CRONOPLE!$B28,0)&gt;0,"F",""),IF(CRONOPLE!B28&lt;=MAX(CÁLCULO!$M$15:$M$43),"F",""))</f>
        <v/>
      </c>
      <c r="B28" s="322">
        <f t="shared" ca="1" si="1"/>
        <v>14</v>
      </c>
      <c r="C28" s="323">
        <f ca="1">IF(AUTOEVENTO="Manual",IF($B28&lt;&gt;1,OFFSET(EVENTOS!$D$14,$B28,0),0),IF(B28&lt;=MAX(CÁLCULO!$M$15:$M$43),VLOOKUP($B28,CÁLCULO!$M$15:$N$43,2,FALSE),0))</f>
        <v>0</v>
      </c>
      <c r="E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4"/>
      <c r="T28" s="324"/>
      <c r="U28" s="324"/>
      <c r="V28" s="324"/>
      <c r="W28" s="324"/>
      <c r="X28" s="324"/>
      <c r="Y28" s="324"/>
      <c r="Z28" s="324"/>
      <c r="AA28" s="324"/>
      <c r="AB28" s="324"/>
      <c r="AC28" s="324"/>
      <c r="AD28" s="324"/>
      <c r="AE28" s="324"/>
    </row>
    <row r="29" spans="1:31">
      <c r="A29" s="9" t="str">
        <f ca="1">IF(AUTOEVENTO="Manual",IF(OFFSET(EVENTOS!$F$14,CRONOPLE!$B29,0)&gt;0,"F",""),IF(CRONOPLE!B29&lt;=MAX(CÁLCULO!$M$15:$M$43),"F",""))</f>
        <v/>
      </c>
      <c r="B29" s="322">
        <f t="shared" ca="1" si="1"/>
        <v>15</v>
      </c>
      <c r="C29" s="323">
        <f ca="1">IF(AUTOEVENTO="Manual",IF($B29&lt;&gt;1,OFFSET(EVENTOS!$D$14,$B29,0),0),IF(B29&lt;=MAX(CÁLCULO!$M$15:$M$43),VLOOKUP($B29,CÁLCULO!$M$15:$N$43,2,FALSE),0))</f>
        <v>0</v>
      </c>
      <c r="E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4"/>
      <c r="T29" s="324"/>
      <c r="U29" s="324"/>
      <c r="V29" s="324"/>
      <c r="W29" s="324"/>
      <c r="X29" s="324"/>
      <c r="Y29" s="324"/>
      <c r="Z29" s="324"/>
      <c r="AA29" s="324"/>
      <c r="AB29" s="324"/>
      <c r="AC29" s="324"/>
      <c r="AD29" s="324"/>
      <c r="AE29" s="324"/>
    </row>
    <row r="30" spans="1:31">
      <c r="A30" s="9" t="str">
        <f ca="1">IF(AUTOEVENTO="Manual",IF(OFFSET(EVENTOS!$F$14,CRONOPLE!$B30,0)&gt;0,"F",""),IF(CRONOPLE!B30&lt;=MAX(CÁLCULO!$M$15:$M$43),"F",""))</f>
        <v/>
      </c>
      <c r="B30" s="322">
        <f t="shared" ca="1" si="1"/>
        <v>16</v>
      </c>
      <c r="C30" s="323">
        <f ca="1">IF(AUTOEVENTO="Manual",IF($B30&lt;&gt;1,OFFSET(EVENTOS!$D$14,$B30,0),0),IF(B30&lt;=MAX(CÁLCULO!$M$15:$M$43),VLOOKUP($B30,CÁLCULO!$M$15:$N$43,2,FALSE),0))</f>
        <v>0</v>
      </c>
      <c r="E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4"/>
      <c r="T30" s="324"/>
      <c r="U30" s="324"/>
      <c r="V30" s="324"/>
      <c r="W30" s="324"/>
      <c r="X30" s="324"/>
      <c r="Y30" s="324"/>
      <c r="Z30" s="324"/>
      <c r="AA30" s="324"/>
      <c r="AB30" s="324"/>
      <c r="AC30" s="324"/>
      <c r="AD30" s="324"/>
      <c r="AE30" s="324"/>
    </row>
    <row r="31" spans="1:31">
      <c r="A31" s="9" t="str">
        <f ca="1">IF(AUTOEVENTO="Manual",IF(OFFSET(EVENTOS!$F$14,CRONOPLE!$B31,0)&gt;0,"F",""),IF(CRONOPLE!B31&lt;=MAX(CÁLCULO!$M$15:$M$43),"F",""))</f>
        <v/>
      </c>
      <c r="B31" s="322">
        <f t="shared" ca="1" si="1"/>
        <v>17</v>
      </c>
      <c r="C31" s="323">
        <f ca="1">IF(AUTOEVENTO="Manual",IF($B31&lt;&gt;1,OFFSET(EVENTOS!$D$14,$B31,0),0),IF(B31&lt;=MAX(CÁLCULO!$M$15:$M$43),VLOOKUP($B31,CÁLCULO!$M$15:$N$43,2,FALSE),0))</f>
        <v>0</v>
      </c>
      <c r="E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4"/>
      <c r="T31" s="324"/>
      <c r="U31" s="324"/>
      <c r="V31" s="324"/>
      <c r="W31" s="324"/>
      <c r="X31" s="324"/>
      <c r="Y31" s="324"/>
      <c r="Z31" s="324"/>
      <c r="AA31" s="324"/>
      <c r="AB31" s="324"/>
      <c r="AC31" s="324"/>
      <c r="AD31" s="324"/>
      <c r="AE31" s="324"/>
    </row>
    <row r="32" spans="1:31">
      <c r="A32" s="9" t="str">
        <f ca="1">IF(AUTOEVENTO="Manual",IF(OFFSET(EVENTOS!$F$14,CRONOPLE!$B32,0)&gt;0,"F",""),IF(CRONOPLE!B32&lt;=MAX(CÁLCULO!$M$15:$M$43),"F",""))</f>
        <v/>
      </c>
      <c r="B32" s="322">
        <f t="shared" ca="1" si="1"/>
        <v>18</v>
      </c>
      <c r="C32" s="323">
        <f ca="1">IF(AUTOEVENTO="Manual",IF($B32&lt;&gt;1,OFFSET(EVENTOS!$D$14,$B32,0),0),IF(B32&lt;=MAX(CÁLCULO!$M$15:$M$43),VLOOKUP($B32,CÁLCULO!$M$15:$N$43,2,FALSE),0))</f>
        <v>0</v>
      </c>
      <c r="E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4"/>
      <c r="T32" s="324"/>
      <c r="U32" s="324"/>
      <c r="V32" s="324"/>
      <c r="W32" s="324"/>
      <c r="X32" s="324"/>
      <c r="Y32" s="324"/>
      <c r="Z32" s="324"/>
      <c r="AA32" s="324"/>
      <c r="AB32" s="324"/>
      <c r="AC32" s="324"/>
      <c r="AD32" s="324"/>
      <c r="AE32" s="324"/>
    </row>
    <row r="33" spans="1:31">
      <c r="A33" s="9" t="str">
        <f ca="1">IF(AUTOEVENTO="Manual",IF(OFFSET(EVENTOS!$F$14,CRONOPLE!$B33,0)&gt;0,"F",""),IF(CRONOPLE!B33&lt;=MAX(CÁLCULO!$M$15:$M$43),"F",""))</f>
        <v/>
      </c>
      <c r="B33" s="322">
        <f t="shared" ca="1" si="1"/>
        <v>19</v>
      </c>
      <c r="C33" s="323">
        <f ca="1">IF(AUTOEVENTO="Manual",IF($B33&lt;&gt;1,OFFSET(EVENTOS!$D$14,$B33,0),0),IF(B33&lt;=MAX(CÁLCULO!$M$15:$M$43),VLOOKUP($B33,CÁLCULO!$M$15:$N$43,2,FALSE),0))</f>
        <v>0</v>
      </c>
      <c r="E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4"/>
      <c r="T33" s="324"/>
      <c r="U33" s="324"/>
      <c r="V33" s="324"/>
      <c r="W33" s="324"/>
      <c r="X33" s="324"/>
      <c r="Y33" s="324"/>
      <c r="Z33" s="324"/>
      <c r="AA33" s="324"/>
      <c r="AB33" s="324"/>
      <c r="AC33" s="324"/>
      <c r="AD33" s="324"/>
      <c r="AE33" s="324"/>
    </row>
    <row r="34" spans="1:31">
      <c r="A34" s="9" t="str">
        <f ca="1">IF(AUTOEVENTO="Manual",IF(OFFSET(EVENTOS!$F$14,CRONOPLE!$B34,0)&gt;0,"F",""),IF(CRONOPLE!B34&lt;=MAX(CÁLCULO!$M$15:$M$43),"F",""))</f>
        <v/>
      </c>
      <c r="B34" s="322">
        <f t="shared" ca="1" si="1"/>
        <v>20</v>
      </c>
      <c r="C34" s="323">
        <f ca="1">IF(AUTOEVENTO="Manual",IF($B34&lt;&gt;1,OFFSET(EVENTOS!$D$14,$B34,0),0),IF(B34&lt;=MAX(CÁLCULO!$M$15:$M$43),VLOOKUP($B34,CÁLCULO!$M$15:$N$43,2,FALSE),0))</f>
        <v>0</v>
      </c>
      <c r="E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4"/>
      <c r="T34" s="324"/>
      <c r="U34" s="324"/>
      <c r="V34" s="324"/>
      <c r="W34" s="324"/>
      <c r="X34" s="324"/>
      <c r="Y34" s="324"/>
      <c r="Z34" s="324"/>
      <c r="AA34" s="324"/>
      <c r="AB34" s="324"/>
      <c r="AC34" s="324"/>
      <c r="AD34" s="324"/>
      <c r="AE34" s="324"/>
    </row>
    <row r="35" spans="1:31">
      <c r="A35" s="9" t="str">
        <f ca="1">IF(AUTOEVENTO="Manual",IF(OFFSET(EVENTOS!$F$14,CRONOPLE!$B35,0)&gt;0,"F",""),IF(CRONOPLE!B35&lt;=MAX(CÁLCULO!$M$15:$M$43),"F",""))</f>
        <v/>
      </c>
      <c r="B35" s="322">
        <f t="shared" ca="1" si="1"/>
        <v>21</v>
      </c>
      <c r="C35" s="323">
        <f ca="1">IF(AUTOEVENTO="Manual",IF($B35&lt;&gt;1,OFFSET(EVENTOS!$D$14,$B35,0),0),IF(B35&lt;=MAX(CÁLCULO!$M$15:$M$43),VLOOKUP($B35,CÁLCULO!$M$15:$N$43,2,FALSE),0))</f>
        <v>0</v>
      </c>
      <c r="E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4"/>
      <c r="T35" s="324"/>
      <c r="U35" s="324"/>
      <c r="V35" s="324"/>
      <c r="W35" s="324"/>
      <c r="X35" s="324"/>
      <c r="Y35" s="324"/>
      <c r="Z35" s="324"/>
      <c r="AA35" s="324"/>
      <c r="AB35" s="324"/>
      <c r="AC35" s="324"/>
      <c r="AD35" s="324"/>
      <c r="AE35" s="324"/>
    </row>
    <row r="36" spans="1:31">
      <c r="A36" s="9" t="str">
        <f ca="1">IF(AUTOEVENTO="Manual",IF(OFFSET(EVENTOS!$F$14,CRONOPLE!$B36,0)&gt;0,"F",""),IF(CRONOPLE!B36&lt;=MAX(CÁLCULO!$M$15:$M$43),"F",""))</f>
        <v/>
      </c>
      <c r="B36" s="322">
        <f t="shared" ca="1" si="1"/>
        <v>22</v>
      </c>
      <c r="C36" s="323">
        <f ca="1">IF(AUTOEVENTO="Manual",IF($B36&lt;&gt;1,OFFSET(EVENTOS!$D$14,$B36,0),0),IF(B36&lt;=MAX(CÁLCULO!$M$15:$M$43),VLOOKUP($B36,CÁLCULO!$M$15:$N$43,2,FALSE),0))</f>
        <v>0</v>
      </c>
      <c r="E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4"/>
      <c r="T36" s="324"/>
      <c r="U36" s="324"/>
      <c r="V36" s="324"/>
      <c r="W36" s="324"/>
      <c r="X36" s="324"/>
      <c r="Y36" s="324"/>
      <c r="Z36" s="324"/>
      <c r="AA36" s="324"/>
      <c r="AB36" s="324"/>
      <c r="AC36" s="324"/>
      <c r="AD36" s="324"/>
      <c r="AE36" s="324"/>
    </row>
    <row r="37" spans="1:31">
      <c r="A37" s="9" t="str">
        <f ca="1">IF(AUTOEVENTO="Manual",IF(OFFSET(EVENTOS!$F$14,CRONOPLE!$B37,0)&gt;0,"F",""),IF(CRONOPLE!B37&lt;=MAX(CÁLCULO!$M$15:$M$43),"F",""))</f>
        <v/>
      </c>
      <c r="B37" s="322">
        <f t="shared" ca="1" si="1"/>
        <v>23</v>
      </c>
      <c r="C37" s="323">
        <f ca="1">IF(AUTOEVENTO="Manual",IF($B37&lt;&gt;1,OFFSET(EVENTOS!$D$14,$B37,0),0),IF(B37&lt;=MAX(CÁLCULO!$M$15:$M$43),VLOOKUP($B37,CÁLCULO!$M$15:$N$43,2,FALSE),0))</f>
        <v>0</v>
      </c>
      <c r="E37" s="324"/>
      <c r="G37" s="324"/>
      <c r="H37" s="324"/>
      <c r="I37" s="324"/>
      <c r="J37" s="324"/>
      <c r="K37" s="324"/>
      <c r="L37" s="324"/>
      <c r="M37" s="324"/>
      <c r="N37" s="324"/>
      <c r="O37" s="324"/>
      <c r="P37" s="324"/>
      <c r="Q37" s="324"/>
      <c r="R37" s="324"/>
      <c r="S37" s="324"/>
      <c r="T37" s="324"/>
      <c r="U37" s="324"/>
      <c r="V37" s="324"/>
      <c r="W37" s="324"/>
      <c r="X37" s="324"/>
      <c r="Y37" s="324"/>
      <c r="Z37" s="324"/>
      <c r="AA37" s="324"/>
      <c r="AB37" s="324"/>
      <c r="AC37" s="324"/>
      <c r="AD37" s="324"/>
      <c r="AE37" s="324"/>
    </row>
    <row r="38" spans="1:31">
      <c r="A38" s="9" t="str">
        <f ca="1">IF(AUTOEVENTO="Manual",IF(OFFSET(EVENTOS!$F$14,CRONOPLE!$B38,0)&gt;0,"F",""),IF(CRONOPLE!B38&lt;=MAX(CÁLCULO!$M$15:$M$43),"F",""))</f>
        <v/>
      </c>
      <c r="B38" s="322">
        <f t="shared" ca="1" si="1"/>
        <v>24</v>
      </c>
      <c r="C38" s="323">
        <f ca="1">IF(AUTOEVENTO="Manual",IF($B38&lt;&gt;1,OFFSET(EVENTOS!$D$14,$B38,0),0),IF(B38&lt;=MAX(CÁLCULO!$M$15:$M$43),VLOOKUP($B38,CÁLCULO!$M$15:$N$43,2,FALSE),0))</f>
        <v>0</v>
      </c>
      <c r="E38" s="324"/>
      <c r="G38" s="324"/>
      <c r="H38" s="324"/>
      <c r="I38" s="324"/>
      <c r="J38" s="324"/>
      <c r="K38" s="324"/>
      <c r="L38" s="324"/>
      <c r="M38" s="324"/>
      <c r="N38" s="324"/>
      <c r="O38" s="324"/>
      <c r="P38" s="324"/>
      <c r="Q38" s="324"/>
      <c r="R38" s="324"/>
      <c r="S38" s="324"/>
      <c r="T38" s="324"/>
      <c r="U38" s="324"/>
      <c r="V38" s="324"/>
      <c r="W38" s="324"/>
      <c r="X38" s="324"/>
      <c r="Y38" s="324"/>
      <c r="Z38" s="324"/>
      <c r="AA38" s="324"/>
      <c r="AB38" s="324"/>
      <c r="AC38" s="324"/>
      <c r="AD38" s="324"/>
      <c r="AE38" s="324"/>
    </row>
    <row r="39" spans="1:31">
      <c r="A39" s="9" t="str">
        <f ca="1">IF(AUTOEVENTO="Manual",IF(OFFSET(EVENTOS!$F$14,CRONOPLE!$B39,0)&gt;0,"F",""),IF(CRONOPLE!B39&lt;=MAX(CÁLCULO!$M$15:$M$43),"F",""))</f>
        <v/>
      </c>
      <c r="B39" s="322">
        <f t="shared" ca="1" si="1"/>
        <v>25</v>
      </c>
      <c r="C39" s="323">
        <f ca="1">IF(AUTOEVENTO="Manual",IF($B39&lt;&gt;1,OFFSET(EVENTOS!$D$14,$B39,0),0),IF(B39&lt;=MAX(CÁLCULO!$M$15:$M$43),VLOOKUP($B39,CÁLCULO!$M$15:$N$43,2,FALSE),0))</f>
        <v>0</v>
      </c>
      <c r="E39" s="324"/>
      <c r="G39" s="324"/>
      <c r="H39" s="324"/>
      <c r="I39" s="324"/>
      <c r="J39" s="324"/>
      <c r="K39" s="324"/>
      <c r="L39" s="324"/>
      <c r="M39" s="324"/>
      <c r="N39" s="324"/>
      <c r="O39" s="324"/>
      <c r="P39" s="324"/>
      <c r="Q39" s="324"/>
      <c r="R39" s="324"/>
      <c r="S39" s="324"/>
      <c r="T39" s="324"/>
      <c r="U39" s="324"/>
      <c r="V39" s="324"/>
      <c r="W39" s="324"/>
      <c r="X39" s="324"/>
      <c r="Y39" s="324"/>
      <c r="Z39" s="324"/>
      <c r="AA39" s="324"/>
      <c r="AB39" s="324"/>
      <c r="AC39" s="324"/>
      <c r="AD39" s="324"/>
      <c r="AE39" s="324"/>
    </row>
    <row r="40" spans="1:31">
      <c r="A40" s="9" t="str">
        <f ca="1">IF(AUTOEVENTO="Manual",IF(OFFSET(EVENTOS!$F$14,CRONOPLE!$B40,0)&gt;0,"F",""),IF(CRONOPLE!B40&lt;=MAX(CÁLCULO!$M$15:$M$43),"F",""))</f>
        <v/>
      </c>
      <c r="B40" s="322">
        <f t="shared" ca="1" si="1"/>
        <v>26</v>
      </c>
      <c r="C40" s="323">
        <f ca="1">IF(AUTOEVENTO="Manual",IF($B40&lt;&gt;1,OFFSET(EVENTOS!$D$14,$B40,0),0),IF(B40&lt;=MAX(CÁLCULO!$M$15:$M$43),VLOOKUP($B40,CÁLCULO!$M$15:$N$43,2,FALSE),0))</f>
        <v>0</v>
      </c>
      <c r="E40" s="324"/>
      <c r="G40" s="324"/>
      <c r="H40" s="324"/>
      <c r="I40" s="324"/>
      <c r="J40" s="324"/>
      <c r="K40" s="324"/>
      <c r="L40" s="324"/>
      <c r="M40" s="324"/>
      <c r="N40" s="324"/>
      <c r="O40" s="324"/>
      <c r="P40" s="324"/>
      <c r="Q40" s="324"/>
      <c r="R40" s="324"/>
      <c r="S40" s="324"/>
      <c r="T40" s="324"/>
      <c r="U40" s="324"/>
      <c r="V40" s="324"/>
      <c r="W40" s="324"/>
      <c r="X40" s="324"/>
      <c r="Y40" s="324"/>
      <c r="Z40" s="324"/>
      <c r="AA40" s="324"/>
      <c r="AB40" s="324"/>
      <c r="AC40" s="324"/>
      <c r="AD40" s="324"/>
      <c r="AE40" s="324"/>
    </row>
    <row r="41" spans="1:31">
      <c r="A41" s="9" t="str">
        <f ca="1">IF(AUTOEVENTO="Manual",IF(OFFSET(EVENTOS!$F$14,CRONOPLE!$B41,0)&gt;0,"F",""),IF(CRONOPLE!B41&lt;=MAX(CÁLCULO!$M$15:$M$43),"F",""))</f>
        <v/>
      </c>
      <c r="B41" s="322">
        <f t="shared" ca="1" si="1"/>
        <v>27</v>
      </c>
      <c r="C41" s="323">
        <f ca="1">IF(AUTOEVENTO="Manual",IF($B41&lt;&gt;1,OFFSET(EVENTOS!$D$14,$B41,0),0),IF(B41&lt;=MAX(CÁLCULO!$M$15:$M$43),VLOOKUP($B41,CÁLCULO!$M$15:$N$43,2,FALSE),0))</f>
        <v>0</v>
      </c>
      <c r="E41" s="324"/>
      <c r="G41" s="324"/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4"/>
      <c r="T41" s="324"/>
      <c r="U41" s="324"/>
      <c r="V41" s="324"/>
      <c r="W41" s="324"/>
      <c r="X41" s="324"/>
      <c r="Y41" s="324"/>
      <c r="Z41" s="324"/>
      <c r="AA41" s="324"/>
      <c r="AB41" s="324"/>
      <c r="AC41" s="324"/>
      <c r="AD41" s="324"/>
      <c r="AE41" s="324"/>
    </row>
    <row r="42" spans="1:31">
      <c r="A42" s="9" t="str">
        <f ca="1">IF(AUTOEVENTO="Manual",IF(OFFSET(EVENTOS!$F$14,CRONOPLE!$B42,0)&gt;0,"F",""),IF(CRONOPLE!B42&lt;=MAX(CÁLCULO!$M$15:$M$43),"F",""))</f>
        <v/>
      </c>
      <c r="B42" s="322">
        <f t="shared" ca="1" si="1"/>
        <v>28</v>
      </c>
      <c r="C42" s="323">
        <f ca="1">IF(AUTOEVENTO="Manual",IF($B42&lt;&gt;1,OFFSET(EVENTOS!$D$14,$B42,0),0),IF(B42&lt;=MAX(CÁLCULO!$M$15:$M$43),VLOOKUP($B42,CÁLCULO!$M$15:$N$43,2,FALSE),0))</f>
        <v>0</v>
      </c>
      <c r="E42" s="324"/>
      <c r="G42" s="324"/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4"/>
      <c r="AE42" s="324"/>
    </row>
    <row r="43" spans="1:31">
      <c r="A43" s="9" t="str">
        <f ca="1">IF(AUTOEVENTO="Manual",IF(OFFSET(EVENTOS!$F$14,CRONOPLE!$B43,0)&gt;0,"F",""),IF(CRONOPLE!B43&lt;=MAX(CÁLCULO!$M$15:$M$43),"F",""))</f>
        <v/>
      </c>
      <c r="B43" s="322">
        <f t="shared" ca="1" si="1"/>
        <v>29</v>
      </c>
      <c r="C43" s="323">
        <f ca="1">IF(AUTOEVENTO="Manual",IF($B43&lt;&gt;1,OFFSET(EVENTOS!$D$14,$B43,0),0),IF(B43&lt;=MAX(CÁLCULO!$M$15:$M$43),VLOOKUP($B43,CÁLCULO!$M$15:$N$43,2,FALSE),0))</f>
        <v>0</v>
      </c>
      <c r="E43" s="324"/>
      <c r="G43" s="324"/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4"/>
      <c r="T43" s="324"/>
      <c r="U43" s="324"/>
      <c r="V43" s="324"/>
      <c r="W43" s="324"/>
      <c r="X43" s="324"/>
      <c r="Y43" s="324"/>
      <c r="Z43" s="324"/>
      <c r="AA43" s="324"/>
      <c r="AB43" s="324"/>
      <c r="AC43" s="324"/>
      <c r="AD43" s="324"/>
      <c r="AE43" s="324"/>
    </row>
    <row r="44" spans="1:31">
      <c r="A44" s="9" t="str">
        <f ca="1">IF(AUTOEVENTO="Manual",IF(OFFSET(EVENTOS!$F$14,CRONOPLE!$B44,0)&gt;0,"F",""),IF(CRONOPLE!B44&lt;=MAX(CÁLCULO!$M$15:$M$43),"F",""))</f>
        <v/>
      </c>
      <c r="B44" s="322">
        <f t="shared" ca="1" si="1"/>
        <v>30</v>
      </c>
      <c r="C44" s="323">
        <f ca="1">IF(AUTOEVENTO="Manual",IF($B44&lt;&gt;1,OFFSET(EVENTOS!$D$14,$B44,0),0),IF(B44&lt;=MAX(CÁLCULO!$M$15:$M$43),VLOOKUP($B44,CÁLCULO!$M$15:$N$43,2,FALSE),0))</f>
        <v>0</v>
      </c>
      <c r="E44" s="324"/>
      <c r="G44" s="324"/>
      <c r="H44" s="324"/>
      <c r="I44" s="324"/>
      <c r="J44" s="324"/>
      <c r="K44" s="324"/>
      <c r="L44" s="324"/>
      <c r="M44" s="324"/>
      <c r="N44" s="324"/>
      <c r="O44" s="324"/>
      <c r="P44" s="324"/>
      <c r="Q44" s="324"/>
      <c r="R44" s="324"/>
      <c r="S44" s="324"/>
      <c r="T44" s="324"/>
      <c r="U44" s="324"/>
      <c r="V44" s="324"/>
      <c r="W44" s="324"/>
      <c r="X44" s="324"/>
      <c r="Y44" s="324"/>
      <c r="Z44" s="324"/>
      <c r="AA44" s="324"/>
      <c r="AB44" s="324"/>
      <c r="AC44" s="324"/>
      <c r="AD44" s="324"/>
      <c r="AE44" s="324"/>
    </row>
    <row r="45" spans="1:31">
      <c r="A45" s="9" t="str">
        <f ca="1">IF(AUTOEVENTO="Manual",IF(OFFSET(EVENTOS!$F$14,CRONOPLE!$B45,0)&gt;0,"F",""),IF(CRONOPLE!B45&lt;=MAX(CÁLCULO!$M$15:$M$43),"F",""))</f>
        <v/>
      </c>
      <c r="B45" s="322">
        <f t="shared" ca="1" si="1"/>
        <v>31</v>
      </c>
      <c r="C45" s="323">
        <f ca="1">IF(AUTOEVENTO="Manual",IF($B45&lt;&gt;1,OFFSET(EVENTOS!$D$14,$B45,0),0),IF(B45&lt;=MAX(CÁLCULO!$M$15:$M$43),VLOOKUP($B45,CÁLCULO!$M$15:$N$43,2,FALSE),0))</f>
        <v>0</v>
      </c>
      <c r="E45" s="324"/>
      <c r="G45" s="324"/>
      <c r="H45" s="324"/>
      <c r="I45" s="324"/>
      <c r="J45" s="324"/>
      <c r="K45" s="324"/>
      <c r="L45" s="324"/>
      <c r="M45" s="324"/>
      <c r="N45" s="324"/>
      <c r="O45" s="324"/>
      <c r="P45" s="324"/>
      <c r="Q45" s="324"/>
      <c r="R45" s="324"/>
      <c r="S45" s="324"/>
      <c r="T45" s="324"/>
      <c r="U45" s="324"/>
      <c r="V45" s="324"/>
      <c r="W45" s="324"/>
      <c r="X45" s="324"/>
      <c r="Y45" s="324"/>
      <c r="Z45" s="324"/>
      <c r="AA45" s="324"/>
      <c r="AB45" s="324"/>
      <c r="AC45" s="324"/>
      <c r="AD45" s="324"/>
      <c r="AE45" s="324"/>
    </row>
    <row r="46" spans="1:31">
      <c r="A46" s="9" t="str">
        <f ca="1">IF(AUTOEVENTO="Manual",IF(OFFSET(EVENTOS!$F$14,CRONOPLE!$B46,0)&gt;0,"F",""),IF(CRONOPLE!B46&lt;=MAX(CÁLCULO!$M$15:$M$43),"F",""))</f>
        <v/>
      </c>
      <c r="B46" s="322">
        <f t="shared" ca="1" si="1"/>
        <v>32</v>
      </c>
      <c r="C46" s="323">
        <f ca="1">IF(AUTOEVENTO="Manual",IF($B46&lt;&gt;1,OFFSET(EVENTOS!$D$14,$B46,0),0),IF(B46&lt;=MAX(CÁLCULO!$M$15:$M$43),VLOOKUP($B46,CÁLCULO!$M$15:$N$43,2,FALSE),0))</f>
        <v>0</v>
      </c>
      <c r="E46" s="324"/>
      <c r="G46" s="324"/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4"/>
      <c r="T46" s="324"/>
      <c r="U46" s="324"/>
      <c r="V46" s="324"/>
      <c r="W46" s="324"/>
      <c r="X46" s="324"/>
      <c r="Y46" s="324"/>
      <c r="Z46" s="324"/>
      <c r="AA46" s="324"/>
      <c r="AB46" s="324"/>
      <c r="AC46" s="324"/>
      <c r="AD46" s="324"/>
      <c r="AE46" s="324"/>
    </row>
    <row r="47" spans="1:31">
      <c r="A47" s="9" t="str">
        <f ca="1">IF(AUTOEVENTO="Manual",IF(OFFSET(EVENTOS!$F$14,CRONOPLE!$B47,0)&gt;0,"F",""),IF(CRONOPLE!B47&lt;=MAX(CÁLCULO!$M$15:$M$43),"F",""))</f>
        <v/>
      </c>
      <c r="B47" s="322">
        <f t="shared" ca="1" si="1"/>
        <v>33</v>
      </c>
      <c r="C47" s="323">
        <f ca="1">IF(AUTOEVENTO="Manual",IF($B47&lt;&gt;1,OFFSET(EVENTOS!$D$14,$B47,0),0),IF(B47&lt;=MAX(CÁLCULO!$M$15:$M$43),VLOOKUP($B47,CÁLCULO!$M$15:$N$43,2,FALSE),0))</f>
        <v>0</v>
      </c>
      <c r="E47" s="324"/>
      <c r="G47" s="324"/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4"/>
      <c r="T47" s="324"/>
      <c r="U47" s="324"/>
      <c r="V47" s="324"/>
      <c r="W47" s="324"/>
      <c r="X47" s="324"/>
      <c r="Y47" s="324"/>
      <c r="Z47" s="324"/>
      <c r="AA47" s="324"/>
      <c r="AB47" s="324"/>
      <c r="AC47" s="324"/>
      <c r="AD47" s="324"/>
      <c r="AE47" s="324"/>
    </row>
    <row r="48" spans="1:31">
      <c r="A48" s="9" t="str">
        <f ca="1">IF(AUTOEVENTO="Manual",IF(OFFSET(EVENTOS!$F$14,CRONOPLE!$B48,0)&gt;0,"F",""),IF(CRONOPLE!B48&lt;=MAX(CÁLCULO!$M$15:$M$43),"F",""))</f>
        <v/>
      </c>
      <c r="B48" s="322">
        <f t="shared" ca="1" si="1"/>
        <v>34</v>
      </c>
      <c r="C48" s="323">
        <f ca="1">IF(AUTOEVENTO="Manual",IF($B48&lt;&gt;1,OFFSET(EVENTOS!$D$14,$B48,0),0),IF(B48&lt;=MAX(CÁLCULO!$M$15:$M$43),VLOOKUP($B48,CÁLCULO!$M$15:$N$43,2,FALSE),0))</f>
        <v>0</v>
      </c>
      <c r="E48" s="324"/>
      <c r="G48" s="324"/>
      <c r="H48" s="324"/>
      <c r="I48" s="324"/>
      <c r="J48" s="324"/>
      <c r="K48" s="324"/>
      <c r="L48" s="324"/>
      <c r="M48" s="324"/>
      <c r="N48" s="324"/>
      <c r="O48" s="324"/>
      <c r="P48" s="324"/>
      <c r="Q48" s="324"/>
      <c r="R48" s="324"/>
      <c r="S48" s="324"/>
      <c r="T48" s="324"/>
      <c r="U48" s="324"/>
      <c r="V48" s="324"/>
      <c r="W48" s="324"/>
      <c r="X48" s="324"/>
      <c r="Y48" s="324"/>
      <c r="Z48" s="324"/>
      <c r="AA48" s="324"/>
      <c r="AB48" s="324"/>
      <c r="AC48" s="324"/>
      <c r="AD48" s="324"/>
      <c r="AE48" s="324"/>
    </row>
    <row r="49" spans="1:31">
      <c r="A49" s="9" t="str">
        <f ca="1">IF(AUTOEVENTO="Manual",IF(OFFSET(EVENTOS!$F$14,CRONOPLE!$B49,0)&gt;0,"F",""),IF(CRONOPLE!B49&lt;=MAX(CÁLCULO!$M$15:$M$43),"F",""))</f>
        <v/>
      </c>
      <c r="B49" s="322">
        <f t="shared" ca="1" si="1"/>
        <v>35</v>
      </c>
      <c r="C49" s="323">
        <f ca="1">IF(AUTOEVENTO="Manual",IF($B49&lt;&gt;1,OFFSET(EVENTOS!$D$14,$B49,0),0),IF(B49&lt;=MAX(CÁLCULO!$M$15:$M$43),VLOOKUP($B49,CÁLCULO!$M$15:$N$43,2,FALSE),0))</f>
        <v>0</v>
      </c>
      <c r="E49" s="324"/>
      <c r="G49" s="324"/>
      <c r="H49" s="324"/>
      <c r="I49" s="324"/>
      <c r="J49" s="324"/>
      <c r="K49" s="324"/>
      <c r="L49" s="324"/>
      <c r="M49" s="324"/>
      <c r="N49" s="324"/>
      <c r="O49" s="324"/>
      <c r="P49" s="324"/>
      <c r="Q49" s="324"/>
      <c r="R49" s="324"/>
      <c r="S49" s="324"/>
      <c r="T49" s="324"/>
      <c r="U49" s="324"/>
      <c r="V49" s="324"/>
      <c r="W49" s="324"/>
      <c r="X49" s="324"/>
      <c r="Y49" s="324"/>
      <c r="Z49" s="324"/>
      <c r="AA49" s="324"/>
      <c r="AB49" s="324"/>
      <c r="AC49" s="324"/>
      <c r="AD49" s="324"/>
      <c r="AE49" s="324"/>
    </row>
    <row r="50" spans="1:31">
      <c r="A50" s="9" t="str">
        <f ca="1">IF(AUTOEVENTO="Manual",IF(OFFSET(EVENTOS!$F$14,CRONOPLE!$B50,0)&gt;0,"F",""),IF(CRONOPLE!B50&lt;=MAX(CÁLCULO!$M$15:$M$43),"F",""))</f>
        <v/>
      </c>
      <c r="B50" s="322">
        <f t="shared" ca="1" si="1"/>
        <v>36</v>
      </c>
      <c r="C50" s="323">
        <f ca="1">IF(AUTOEVENTO="Manual",IF($B50&lt;&gt;1,OFFSET(EVENTOS!$D$14,$B50,0),0),IF(B50&lt;=MAX(CÁLCULO!$M$15:$M$43),VLOOKUP($B50,CÁLCULO!$M$15:$N$43,2,FALSE),0))</f>
        <v>0</v>
      </c>
      <c r="E50" s="324"/>
      <c r="G50" s="324"/>
      <c r="H50" s="324"/>
      <c r="I50" s="324"/>
      <c r="J50" s="324"/>
      <c r="K50" s="324"/>
      <c r="L50" s="324"/>
      <c r="M50" s="324"/>
      <c r="N50" s="324"/>
      <c r="O50" s="324"/>
      <c r="P50" s="324"/>
      <c r="Q50" s="324"/>
      <c r="R50" s="324"/>
      <c r="S50" s="324"/>
      <c r="T50" s="324"/>
      <c r="U50" s="324"/>
      <c r="V50" s="324"/>
      <c r="W50" s="324"/>
      <c r="X50" s="324"/>
      <c r="Y50" s="324"/>
      <c r="Z50" s="324"/>
      <c r="AA50" s="324"/>
      <c r="AB50" s="324"/>
      <c r="AC50" s="324"/>
      <c r="AD50" s="324"/>
      <c r="AE50" s="324"/>
    </row>
    <row r="51" spans="1:31">
      <c r="A51" s="9" t="str">
        <f ca="1">IF(AUTOEVENTO="Manual",IF(OFFSET(EVENTOS!$F$14,CRONOPLE!$B51,0)&gt;0,"F",""),IF(CRONOPLE!B51&lt;=MAX(CÁLCULO!$M$15:$M$43),"F",""))</f>
        <v/>
      </c>
      <c r="B51" s="322">
        <f t="shared" ca="1" si="1"/>
        <v>37</v>
      </c>
      <c r="C51" s="323">
        <f ca="1">IF(AUTOEVENTO="Manual",IF($B51&lt;&gt;1,OFFSET(EVENTOS!$D$14,$B51,0),0),IF(B51&lt;=MAX(CÁLCULO!$M$15:$M$43),VLOOKUP($B51,CÁLCULO!$M$15:$N$43,2,FALSE),0))</f>
        <v>0</v>
      </c>
      <c r="E51" s="324"/>
      <c r="G51" s="324"/>
      <c r="H51" s="324"/>
      <c r="I51" s="324"/>
      <c r="J51" s="324"/>
      <c r="K51" s="324"/>
      <c r="L51" s="324"/>
      <c r="M51" s="324"/>
      <c r="N51" s="324"/>
      <c r="O51" s="324"/>
      <c r="P51" s="324"/>
      <c r="Q51" s="324"/>
      <c r="R51" s="324"/>
      <c r="S51" s="324"/>
      <c r="T51" s="324"/>
      <c r="U51" s="324"/>
      <c r="V51" s="324"/>
      <c r="W51" s="324"/>
      <c r="X51" s="324"/>
      <c r="Y51" s="324"/>
      <c r="Z51" s="324"/>
      <c r="AA51" s="324"/>
      <c r="AB51" s="324"/>
      <c r="AC51" s="324"/>
      <c r="AD51" s="324"/>
      <c r="AE51" s="324"/>
    </row>
    <row r="52" spans="1:31">
      <c r="A52" s="9" t="str">
        <f ca="1">IF(AUTOEVENTO="Manual",IF(OFFSET(EVENTOS!$F$14,CRONOPLE!$B52,0)&gt;0,"F",""),IF(CRONOPLE!B52&lt;=MAX(CÁLCULO!$M$15:$M$43),"F",""))</f>
        <v/>
      </c>
      <c r="B52" s="322">
        <f t="shared" ca="1" si="1"/>
        <v>38</v>
      </c>
      <c r="C52" s="323">
        <f ca="1">IF(AUTOEVENTO="Manual",IF($B52&lt;&gt;1,OFFSET(EVENTOS!$D$14,$B52,0),0),IF(B52&lt;=MAX(CÁLCULO!$M$15:$M$43),VLOOKUP($B52,CÁLCULO!$M$15:$N$43,2,FALSE),0))</f>
        <v>0</v>
      </c>
      <c r="E52" s="324"/>
      <c r="G52" s="324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4"/>
      <c r="AE52" s="324"/>
    </row>
    <row r="53" spans="1:31">
      <c r="A53" s="9" t="str">
        <f ca="1">IF(AUTOEVENTO="Manual",IF(OFFSET(EVENTOS!$F$14,CRONOPLE!$B53,0)&gt;0,"F",""),IF(CRONOPLE!B53&lt;=MAX(CÁLCULO!$M$15:$M$43),"F",""))</f>
        <v/>
      </c>
      <c r="B53" s="322">
        <f t="shared" ca="1" si="1"/>
        <v>39</v>
      </c>
      <c r="C53" s="323">
        <f ca="1">IF(AUTOEVENTO="Manual",IF($B53&lt;&gt;1,OFFSET(EVENTOS!$D$14,$B53,0),0),IF(B53&lt;=MAX(CÁLCULO!$M$15:$M$43),VLOOKUP($B53,CÁLCULO!$M$15:$N$43,2,FALSE),0))</f>
        <v>0</v>
      </c>
      <c r="E53" s="324"/>
      <c r="G53" s="324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4"/>
      <c r="AE53" s="324"/>
    </row>
    <row r="54" spans="1:31">
      <c r="A54" s="9" t="str">
        <f ca="1">IF(AUTOEVENTO="Manual",IF(OFFSET(EVENTOS!$F$14,CRONOPLE!$B54,0)&gt;0,"F",""),IF(CRONOPLE!B54&lt;=MAX(CÁLCULO!$M$15:$M$43),"F",""))</f>
        <v/>
      </c>
      <c r="B54" s="322">
        <f t="shared" ca="1" si="1"/>
        <v>40</v>
      </c>
      <c r="C54" s="323">
        <f ca="1">IF(AUTOEVENTO="Manual",IF($B54&lt;&gt;1,OFFSET(EVENTOS!$D$14,$B54,0),0),IF(B54&lt;=MAX(CÁLCULO!$M$15:$M$43),VLOOKUP($B54,CÁLCULO!$M$15:$N$43,2,FALSE),0))</f>
        <v>0</v>
      </c>
      <c r="E54" s="324"/>
      <c r="G54" s="324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4"/>
      <c r="AE54" s="324"/>
    </row>
    <row r="55" spans="1:31">
      <c r="A55" s="9" t="str">
        <f ca="1">IF(AUTOEVENTO="Manual",IF(OFFSET(EVENTOS!$F$14,CRONOPLE!$B55,0)&gt;0,"F",""),IF(CRONOPLE!B55&lt;=MAX(CÁLCULO!$M$15:$M$43),"F",""))</f>
        <v/>
      </c>
      <c r="B55" s="322">
        <f t="shared" ca="1" si="1"/>
        <v>41</v>
      </c>
      <c r="C55" s="323">
        <f ca="1">IF(AUTOEVENTO="Manual",IF($B55&lt;&gt;1,OFFSET(EVENTOS!$D$14,$B55,0),0),IF(B55&lt;=MAX(CÁLCULO!$M$15:$M$43),VLOOKUP($B55,CÁLCULO!$M$15:$N$43,2,FALSE),0))</f>
        <v>0</v>
      </c>
      <c r="E55" s="324"/>
      <c r="G55" s="324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4"/>
      <c r="AE55" s="324"/>
    </row>
    <row r="56" spans="1:31">
      <c r="A56" s="9" t="str">
        <f ca="1">IF(AUTOEVENTO="Manual",IF(OFFSET(EVENTOS!$F$14,CRONOPLE!$B56,0)&gt;0,"F",""),IF(CRONOPLE!B56&lt;=MAX(CÁLCULO!$M$15:$M$43),"F",""))</f>
        <v/>
      </c>
      <c r="B56" s="322">
        <f t="shared" ca="1" si="1"/>
        <v>42</v>
      </c>
      <c r="C56" s="323">
        <f ca="1">IF(AUTOEVENTO="Manual",IF($B56&lt;&gt;1,OFFSET(EVENTOS!$D$14,$B56,0),0),IF(B56&lt;=MAX(CÁLCULO!$M$15:$M$43),VLOOKUP($B56,CÁLCULO!$M$15:$N$43,2,FALSE),0))</f>
        <v>0</v>
      </c>
      <c r="E56" s="324"/>
      <c r="G56" s="324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4"/>
      <c r="AE56" s="324"/>
    </row>
    <row r="57" spans="1:31">
      <c r="A57" s="9" t="str">
        <f ca="1">IF(AUTOEVENTO="Manual",IF(OFFSET(EVENTOS!$F$14,CRONOPLE!$B57,0)&gt;0,"F",""),IF(CRONOPLE!B57&lt;=MAX(CÁLCULO!$M$15:$M$43),"F",""))</f>
        <v/>
      </c>
      <c r="B57" s="322">
        <f t="shared" ca="1" si="1"/>
        <v>43</v>
      </c>
      <c r="C57" s="323">
        <f ca="1">IF(AUTOEVENTO="Manual",IF($B57&lt;&gt;1,OFFSET(EVENTOS!$D$14,$B57,0),0),IF(B57&lt;=MAX(CÁLCULO!$M$15:$M$43),VLOOKUP($B57,CÁLCULO!$M$15:$N$43,2,FALSE),0))</f>
        <v>0</v>
      </c>
      <c r="E57" s="324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4"/>
      <c r="AE57" s="324"/>
    </row>
    <row r="58" spans="1:31">
      <c r="A58" s="9" t="str">
        <f ca="1">IF(AUTOEVENTO="Manual",IF(OFFSET(EVENTOS!$F$14,CRONOPLE!$B58,0)&gt;0,"F",""),IF(CRONOPLE!B58&lt;=MAX(CÁLCULO!$M$15:$M$43),"F",""))</f>
        <v/>
      </c>
      <c r="B58" s="322">
        <f t="shared" ca="1" si="1"/>
        <v>44</v>
      </c>
      <c r="C58" s="323">
        <f ca="1">IF(AUTOEVENTO="Manual",IF($B58&lt;&gt;1,OFFSET(EVENTOS!$D$14,$B58,0),0),IF(B58&lt;=MAX(CÁLCULO!$M$15:$M$43),VLOOKUP($B58,CÁLCULO!$M$15:$N$43,2,FALSE),0))</f>
        <v>0</v>
      </c>
      <c r="E58" s="324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4"/>
      <c r="AE58" s="324"/>
    </row>
    <row r="59" spans="1:31">
      <c r="A59" s="9" t="str">
        <f ca="1">IF(AUTOEVENTO="Manual",IF(OFFSET(EVENTOS!$F$14,CRONOPLE!$B59,0)&gt;0,"F",""),IF(CRONOPLE!B59&lt;=MAX(CÁLCULO!$M$15:$M$43),"F",""))</f>
        <v/>
      </c>
      <c r="B59" s="322">
        <f t="shared" ca="1" si="1"/>
        <v>45</v>
      </c>
      <c r="C59" s="323">
        <f ca="1">IF(AUTOEVENTO="Manual",IF($B59&lt;&gt;1,OFFSET(EVENTOS!$D$14,$B59,0),0),IF(B59&lt;=MAX(CÁLCULO!$M$15:$M$43),VLOOKUP($B59,CÁLCULO!$M$15:$N$43,2,FALSE),0))</f>
        <v>0</v>
      </c>
      <c r="E59" s="324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4"/>
      <c r="AE59" s="324"/>
    </row>
    <row r="60" spans="1:31">
      <c r="A60" s="9" t="str">
        <f ca="1">IF(AUTOEVENTO="Manual",IF(OFFSET(EVENTOS!$F$14,CRONOPLE!$B60,0)&gt;0,"F",""),IF(CRONOPLE!B60&lt;=MAX(CÁLCULO!$M$15:$M$43),"F",""))</f>
        <v/>
      </c>
      <c r="B60" s="322">
        <f t="shared" ca="1" si="1"/>
        <v>46</v>
      </c>
      <c r="C60" s="323">
        <f ca="1">IF(AUTOEVENTO="Manual",IF($B60&lt;&gt;1,OFFSET(EVENTOS!$D$14,$B60,0),0),IF(B60&lt;=MAX(CÁLCULO!$M$15:$M$43),VLOOKUP($B60,CÁLCULO!$M$15:$N$43,2,FALSE),0))</f>
        <v>0</v>
      </c>
      <c r="E60" s="324"/>
      <c r="G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4"/>
      <c r="AE60" s="324"/>
    </row>
    <row r="61" spans="1:31">
      <c r="A61" s="9" t="str">
        <f ca="1">IF(AUTOEVENTO="Manual",IF(OFFSET(EVENTOS!$F$14,CRONOPLE!$B61,0)&gt;0,"F",""),IF(CRONOPLE!B61&lt;=MAX(CÁLCULO!$M$15:$M$43),"F",""))</f>
        <v/>
      </c>
      <c r="B61" s="322">
        <f t="shared" ca="1" si="1"/>
        <v>47</v>
      </c>
      <c r="C61" s="323">
        <f ca="1">IF(AUTOEVENTO="Manual",IF($B61&lt;&gt;1,OFFSET(EVENTOS!$D$14,$B61,0),0),IF(B61&lt;=MAX(CÁLCULO!$M$15:$M$43),VLOOKUP($B61,CÁLCULO!$M$15:$N$43,2,FALSE),0))</f>
        <v>0</v>
      </c>
      <c r="E61" s="324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4"/>
      <c r="AE61" s="324"/>
    </row>
    <row r="62" spans="1:31">
      <c r="A62" s="9" t="str">
        <f ca="1">IF(AUTOEVENTO="Manual",IF(OFFSET(EVENTOS!$F$14,CRONOPLE!$B62,0)&gt;0,"F",""),IF(CRONOPLE!B62&lt;=MAX(CÁLCULO!$M$15:$M$43),"F",""))</f>
        <v/>
      </c>
      <c r="B62" s="322">
        <f t="shared" ca="1" si="1"/>
        <v>48</v>
      </c>
      <c r="C62" s="323">
        <f ca="1">IF(AUTOEVENTO="Manual",IF($B62&lt;&gt;1,OFFSET(EVENTOS!$D$14,$B62,0),0),IF(B62&lt;=MAX(CÁLCULO!$M$15:$M$43),VLOOKUP($B62,CÁLCULO!$M$15:$N$43,2,FALSE),0))</f>
        <v>0</v>
      </c>
      <c r="E62" s="324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4"/>
      <c r="AE62" s="324"/>
    </row>
    <row r="63" spans="1:31">
      <c r="A63" s="9" t="str">
        <f ca="1">IF(AUTOEVENTO="Manual",IF(OFFSET(EVENTOS!$F$14,CRONOPLE!$B63,0)&gt;0,"F",""),IF(CRONOPLE!B63&lt;=MAX(CÁLCULO!$M$15:$M$43),"F",""))</f>
        <v/>
      </c>
      <c r="B63" s="322">
        <f t="shared" ca="1" si="1"/>
        <v>49</v>
      </c>
      <c r="C63" s="323">
        <f ca="1">IF(AUTOEVENTO="Manual",IF($B63&lt;&gt;1,OFFSET(EVENTOS!$D$14,$B63,0),0),IF(B63&lt;=MAX(CÁLCULO!$M$15:$M$43),VLOOKUP($B63,CÁLCULO!$M$15:$N$43,2,FALSE),0))</f>
        <v>0</v>
      </c>
      <c r="E63" s="324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4"/>
      <c r="AE63" s="324"/>
    </row>
    <row r="64" spans="1:31">
      <c r="A64" s="9" t="str">
        <f ca="1">IF(AUTOEVENTO="Manual",IF(OFFSET(EVENTOS!$F$14,CRONOPLE!$B64,0)&gt;0,"F",""),IF(CRONOPLE!B64&lt;=MAX(CÁLCULO!$M$15:$M$43),"F",""))</f>
        <v/>
      </c>
      <c r="B64" s="322">
        <f t="shared" ca="1" si="1"/>
        <v>50</v>
      </c>
      <c r="C64" s="323">
        <f ca="1">IF(AUTOEVENTO="Manual",IF($B64&lt;&gt;1,OFFSET(EVENTOS!$D$14,$B64,0),0),IF(B64&lt;=MAX(CÁLCULO!$M$15:$M$43),VLOOKUP($B64,CÁLCULO!$M$15:$N$43,2,FALSE),0))</f>
        <v>0</v>
      </c>
      <c r="E64" s="324"/>
      <c r="G64" s="324"/>
      <c r="H64" s="324"/>
      <c r="I64" s="324"/>
      <c r="J64" s="324"/>
      <c r="K64" s="324"/>
      <c r="L64" s="324"/>
      <c r="M64" s="324"/>
      <c r="N64" s="324"/>
      <c r="O64" s="324"/>
      <c r="P64" s="324"/>
      <c r="Q64" s="324"/>
      <c r="R64" s="324"/>
      <c r="S64" s="324"/>
      <c r="T64" s="324"/>
      <c r="U64" s="324"/>
      <c r="V64" s="324"/>
      <c r="W64" s="324"/>
      <c r="X64" s="324"/>
      <c r="Y64" s="324"/>
      <c r="Z64" s="324"/>
      <c r="AA64" s="324"/>
      <c r="AB64" s="324"/>
      <c r="AC64" s="324"/>
      <c r="AD64" s="324"/>
      <c r="AE64" s="324"/>
    </row>
    <row r="65" spans="2:31" ht="5.0999999999999996" customHeight="1">
      <c r="B65" s="586"/>
      <c r="C65" s="587"/>
      <c r="E65" s="338"/>
      <c r="F65" s="338"/>
      <c r="G65" s="586"/>
      <c r="H65" s="588"/>
      <c r="I65" s="588"/>
      <c r="J65" s="588"/>
      <c r="K65" s="588"/>
      <c r="L65" s="588"/>
      <c r="M65" s="588"/>
      <c r="N65" s="588"/>
      <c r="O65" s="588"/>
      <c r="P65" s="588"/>
      <c r="Q65" s="588"/>
      <c r="R65" s="588"/>
      <c r="S65" s="588"/>
      <c r="T65" s="588"/>
      <c r="U65" s="588"/>
      <c r="V65" s="588"/>
      <c r="W65" s="588"/>
      <c r="X65" s="588"/>
      <c r="Y65" s="588"/>
      <c r="Z65" s="588"/>
      <c r="AA65" s="588"/>
      <c r="AB65" s="588"/>
      <c r="AC65" s="588"/>
      <c r="AD65" s="588"/>
      <c r="AE65" s="587"/>
    </row>
  </sheetData>
  <sheetProtection sheet="1" objects="1" scenarios="1" autoFilter="0"/>
  <mergeCells count="2">
    <mergeCell ref="B12:B13"/>
    <mergeCell ref="C12:C13"/>
  </mergeCells>
  <phoneticPr fontId="37" type="noConversion"/>
  <conditionalFormatting sqref="E1 G1:AE1">
    <cfRule type="expression" dxfId="76" priority="109" stopIfTrue="1">
      <formula>IF(OR(E$12&gt;CÁLCULO.NúmeroDeFrentes,ACOMPANHAMENTO="BM"),TRUE,CRONOPLE.ValorDoEvento=0)</formula>
    </cfRule>
  </conditionalFormatting>
  <conditionalFormatting sqref="E16:E24 G16:AE24">
    <cfRule type="expression" dxfId="75" priority="6" stopIfTrue="1">
      <formula>IF(OR(E$12&gt;CÁLCULO.NúmeroDeFrentes,ACOMPANHAMENTO="BM"),TRUE,CRONOPLE.ValorDoEvento=0)</formula>
    </cfRule>
  </conditionalFormatting>
  <conditionalFormatting sqref="E25:E33 G25:AE33">
    <cfRule type="expression" dxfId="74" priority="5" stopIfTrue="1">
      <formula>IF(OR(E$12&gt;CÁLCULO.NúmeroDeFrentes,ACOMPANHAMENTO="BM"),TRUE,CRONOPLE.ValorDoEvento=0)</formula>
    </cfRule>
  </conditionalFormatting>
  <conditionalFormatting sqref="E34:E42 G34:AE42">
    <cfRule type="expression" dxfId="73" priority="4" stopIfTrue="1">
      <formula>IF(OR(E$12&gt;CÁLCULO.NúmeroDeFrentes,ACOMPANHAMENTO="BM"),TRUE,CRONOPLE.ValorDoEvento=0)</formula>
    </cfRule>
  </conditionalFormatting>
  <conditionalFormatting sqref="E43:E51 G43:AE51">
    <cfRule type="expression" dxfId="72" priority="3" stopIfTrue="1">
      <formula>IF(OR(E$12&gt;CÁLCULO.NúmeroDeFrentes,ACOMPANHAMENTO="BM"),TRUE,CRONOPLE.ValorDoEvento=0)</formula>
    </cfRule>
  </conditionalFormatting>
  <conditionalFormatting sqref="E52:E60 G52:AE60">
    <cfRule type="expression" dxfId="71" priority="2" stopIfTrue="1">
      <formula>IF(OR(E$12&gt;CÁLCULO.NúmeroDeFrentes,ACOMPANHAMENTO="BM"),TRUE,CRONOPLE.ValorDoEvento=0)</formula>
    </cfRule>
  </conditionalFormatting>
  <conditionalFormatting sqref="E61:E64 G61:AE64">
    <cfRule type="expression" dxfId="70" priority="1" stopIfTrue="1">
      <formula>IF(OR(E$12&gt;CÁLCULO.NúmeroDeFrentes,ACOMPANHAMENTO="BM"),TRUE,CRONOPLE.ValorDoEvento=0)</formula>
    </cfRule>
  </conditionalFormatting>
  <dataValidations count="1">
    <dataValidation type="whole" operator="greaterThan" allowBlank="1" showErrorMessage="1" sqref="E1:E5 G1:AE5 G16:AE64 E16:E64">
      <formula1>0</formula1>
      <formula2>0</formula2>
    </dataValidation>
  </dataValidations>
  <pageMargins left="0.78740157480314998" right="0.78740157480314998" top="0.78740157480314998" bottom="0.78740157480314998" header="0.59055118110236204" footer="0.59055118110236204"/>
  <pageSetup paperSize="9" scale="60" firstPageNumber="0" orientation="landscape" horizontalDpi="300" verticalDpi="300" r:id="rId1"/>
  <headerFooter alignWithMargins="0">
    <oddHeader>&amp;L_&amp;C&amp;14I</oddHeader>
    <oddFooter>&amp;LPMv3.0.6&amp;R&amp;P /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Plan11"/>
  <dimension ref="A1:AG80"/>
  <sheetViews>
    <sheetView showGridLines="0" zoomScale="90" zoomScaleNormal="90" zoomScaleSheetLayoutView="100" workbookViewId="0">
      <pane xSplit="4" ySplit="13" topLeftCell="E14" activePane="bottomRight" state="frozen"/>
      <selection pane="topRight" activeCell="E1" sqref="E1"/>
      <selection pane="bottomLeft" activeCell="A13" sqref="A13"/>
      <selection pane="bottomRight" activeCell="Q51" sqref="Q51"/>
    </sheetView>
  </sheetViews>
  <sheetFormatPr defaultRowHeight="12.75"/>
  <cols>
    <col min="1" max="1" width="3.85546875" customWidth="1"/>
    <col min="2" max="2" width="8.140625" customWidth="1"/>
    <col min="3" max="3" width="17" customWidth="1"/>
    <col min="4" max="4" width="19.85546875" customWidth="1"/>
    <col min="5" max="5" width="1.42578125" customWidth="1"/>
    <col min="6" max="7" width="0" hidden="1" customWidth="1"/>
    <col min="8" max="32" width="5.7109375" customWidth="1"/>
    <col min="33" max="33" width="0.140625" customWidth="1"/>
  </cols>
  <sheetData>
    <row r="1" spans="1:33" hidden="1">
      <c r="A1" s="9" t="e">
        <f ca="1">IF(AUTOEVENTO="Manual",IF(OFFSET(EVENTOS!$F$14,PLE!$B1,0)&gt;0,"F",""),IF(PLE!B1&lt;=MAX(CÁLCULO!$M$15:$M$43),"F",""))</f>
        <v>#REF!</v>
      </c>
      <c r="B1" s="322" t="e">
        <f ca="1">OFFSET(B1,-1,0)+1</f>
        <v>#REF!</v>
      </c>
      <c r="C1" s="742" t="e">
        <f ca="1">IF(AUTOEVENTO="Manual",IF($B1&lt;&gt;1,OFFSET(EVENTOS!$D$14,$B1,0),0),IF(B1&lt;=MAX(CÁLCULO!$M$15:$M$43),VLOOKUP($B1,CÁLCULO!$M$15:$N$43,2,FALSE),0))</f>
        <v>#REF!</v>
      </c>
      <c r="D1" s="742"/>
      <c r="F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</row>
    <row r="2" spans="1:33" hidden="1">
      <c r="A2" s="9"/>
      <c r="B2" s="604"/>
      <c r="C2" s="605"/>
      <c r="D2" s="605"/>
      <c r="F2" s="606"/>
    </row>
    <row r="3" spans="1:33" ht="15.75">
      <c r="H3" s="259" t="s">
        <v>293</v>
      </c>
      <c r="AD3" s="678" t="s">
        <v>140</v>
      </c>
      <c r="AE3" s="678"/>
      <c r="AF3" s="678"/>
    </row>
    <row r="4" spans="1:33" ht="15.75">
      <c r="B4" s="98"/>
      <c r="C4" s="98"/>
      <c r="H4" s="102" t="str">
        <f>import.recurso</f>
        <v>OGU</v>
      </c>
      <c r="AD4" s="679" t="s">
        <v>143</v>
      </c>
      <c r="AE4" s="679"/>
      <c r="AF4" s="679"/>
    </row>
    <row r="6" spans="1:33">
      <c r="B6" s="263" t="s">
        <v>146</v>
      </c>
      <c r="C6" s="339"/>
      <c r="D6" s="265" t="s">
        <v>442</v>
      </c>
      <c r="E6" s="55"/>
      <c r="H6" s="266" t="s">
        <v>272</v>
      </c>
      <c r="I6" s="260"/>
      <c r="J6" s="260"/>
      <c r="K6" s="260"/>
      <c r="L6" s="261"/>
      <c r="M6" s="261"/>
      <c r="N6" s="340"/>
      <c r="O6" s="263" t="s">
        <v>273</v>
      </c>
      <c r="P6" s="267"/>
      <c r="Q6" s="96"/>
      <c r="R6" s="260"/>
      <c r="S6" s="260"/>
      <c r="T6" s="260"/>
      <c r="U6" s="264"/>
      <c r="V6" s="263" t="str">
        <f>IF(TIPOORCAMENTO="Licitado","NOME DA EMPRESA","DESCRIÇÃO DO LOTE")</f>
        <v>DESCRIÇÃO DO LOTE</v>
      </c>
      <c r="W6" s="260"/>
      <c r="X6" s="260"/>
      <c r="Y6" s="260"/>
      <c r="Z6" s="96"/>
      <c r="AA6" s="96"/>
      <c r="AB6" s="96"/>
      <c r="AC6" s="96"/>
      <c r="AD6" s="55"/>
      <c r="AE6" s="743" t="str">
        <f>IF(TIPOORCAMENTO="Licitado","Nº CTEF","")</f>
        <v/>
      </c>
      <c r="AF6" s="743"/>
    </row>
    <row r="7" spans="1:33">
      <c r="B7" s="729" t="str">
        <f>Import.CR</f>
        <v>17405-2024</v>
      </c>
      <c r="C7" s="729"/>
      <c r="D7" s="269" t="str">
        <f>Import.TransfereGOV</f>
        <v>965783/2024</v>
      </c>
      <c r="E7" s="50"/>
      <c r="H7" s="739" t="str">
        <f>Import.Proponente</f>
        <v>MUNICÍPIO DE PAINS</v>
      </c>
      <c r="I7" s="739"/>
      <c r="J7" s="739"/>
      <c r="K7" s="739"/>
      <c r="L7" s="739"/>
      <c r="M7" s="739"/>
      <c r="N7" s="739"/>
      <c r="O7" s="729" t="str">
        <f>Import.Apelido</f>
        <v>RECAPEAMENTO DE VIA PÚBLICA</v>
      </c>
      <c r="P7" s="729"/>
      <c r="Q7" s="729"/>
      <c r="R7" s="729"/>
      <c r="S7" s="729"/>
      <c r="T7" s="729"/>
      <c r="U7" s="729"/>
      <c r="V7" s="729" t="str">
        <f>IF(TIPOORCAMENTO="Licitado",Import.empresa,Import.DescLote)</f>
        <v>RECAPEAMENDO DA ESTRADA MUNICIPAL SEBASTIÃO MANECA</v>
      </c>
      <c r="W7" s="729"/>
      <c r="X7" s="729"/>
      <c r="Y7" s="729"/>
      <c r="Z7" s="729"/>
      <c r="AA7" s="729"/>
      <c r="AB7" s="729"/>
      <c r="AC7" s="729"/>
      <c r="AD7" s="729"/>
      <c r="AE7" s="747" t="str">
        <f>IF(TIPOORCAMENTO="Licitado",Import.CTEF,"")</f>
        <v/>
      </c>
      <c r="AF7" s="747"/>
      <c r="AG7" s="341"/>
    </row>
    <row r="8" spans="1:33">
      <c r="AG8" s="96"/>
    </row>
    <row r="9" spans="1:33" ht="15.75">
      <c r="A9" s="522">
        <v>0</v>
      </c>
      <c r="B9" s="342"/>
      <c r="C9" s="342"/>
      <c r="I9" s="343" t="s">
        <v>294</v>
      </c>
      <c r="J9" s="745">
        <v>1</v>
      </c>
      <c r="K9" s="745"/>
      <c r="M9" s="343" t="s">
        <v>283</v>
      </c>
      <c r="N9" s="746" t="str">
        <f ca="1">TEXT(IF(PLE.Medicao=1,Import.DataInicioObra,OFFSET($H$68,0,1+(PLE.Medicao-$I$69)*2-2)+1),"dd/mm/aaaa")&amp;" a "&amp;TEXT(OFFSET($H$68,0,1+(PLE.Medicao-$I$69)*2),"dd/mm/aaaa")</f>
        <v>00/01/1900 a 00/01/1900</v>
      </c>
      <c r="O9" s="746"/>
      <c r="P9" s="746"/>
      <c r="Q9" s="746"/>
      <c r="R9" s="746"/>
      <c r="S9" s="746"/>
      <c r="T9" s="746"/>
      <c r="U9" s="344"/>
      <c r="X9" s="343" t="s">
        <v>295</v>
      </c>
      <c r="Y9" s="748">
        <f ca="1">OFFSET($I$69,1+8*(ROUNDUP(($J$9-0)/((COLUMN($AG$14)-COLUMN($G$14)-1)/25*12),0)-1),ROUNDDOWN((($J$9-0)-OFFSET($I$69,8*(ROUNDUP(($J$9-0)/((COLUMN($AG$14)-COLUMN($G$14)-1)/25*12),0)-1),0))*(2+1/12),0))</f>
        <v>0</v>
      </c>
      <c r="Z9" s="748"/>
      <c r="AD9" s="343" t="s">
        <v>296</v>
      </c>
      <c r="AE9" s="748">
        <f ca="1">OFFSET($I$69,3+8*(ROUNDUP(($J$9-0)/((COLUMN($AG$14)-COLUMN($G$14)-1)/25*12),0)-1),ROUNDDOWN((($J$9-0)-OFFSET($I$69,8*(ROUNDUP(($J$9-0)/((COLUMN($AG$14)-COLUMN($G$14)-1)/25*12),0)-1),0))*(2+1/12),0))</f>
        <v>0</v>
      </c>
      <c r="AF9" s="748"/>
    </row>
    <row r="11" spans="1:33" ht="65.25" customHeight="1">
      <c r="A11" s="326" t="s">
        <v>290</v>
      </c>
      <c r="C11" s="744" t="str">
        <f>IF(TIPOORCAMENTO="proposto","ALTERE O TIPO DE ORÇAMENTO NA ABA 'MENU' PARA LICITADO.",IF(ACOMPANHAMENTO="BM","FOI SELECIONADO NA ABA 'MENU' O ACOMPANHAMENTO POR BM.",""))</f>
        <v>ALTERE O TIPO DE ORÇAMENTO NA ABA 'MENU' PARA LICITADO.</v>
      </c>
      <c r="D11" s="744"/>
      <c r="F11" s="328">
        <f ca="1">IF(F$12&gt;CÁLCULO.NúmeroDeFrentes,"",OFFSET(CÁLCULO!$P$12,0,F$12))</f>
        <v>0</v>
      </c>
      <c r="H11" s="328">
        <f ca="1">IF(H$12&gt;CÁLCULO.NúmeroDeFrentes,"",OFFSET(CÁLCULO!$P$12,0,H$12))</f>
        <v>0</v>
      </c>
      <c r="I11" s="328">
        <f ca="1">IF(I$12&gt;CÁLCULO.NúmeroDeFrentes,"",OFFSET(CÁLCULO!$P$12,0,I$12))</f>
        <v>0</v>
      </c>
      <c r="J11" s="328">
        <f ca="1">IF(J$12&gt;CÁLCULO.NúmeroDeFrentes,"",OFFSET(CÁLCULO!$P$12,0,J$12))</f>
        <v>0</v>
      </c>
      <c r="K11" s="328">
        <f ca="1">IF(K$12&gt;CÁLCULO.NúmeroDeFrentes,"",OFFSET(CÁLCULO!$P$12,0,K$12))</f>
        <v>0</v>
      </c>
      <c r="L11" s="328">
        <f ca="1">IF(L$12&gt;CÁLCULO.NúmeroDeFrentes,"",OFFSET(CÁLCULO!$P$12,0,L$12))</f>
        <v>0</v>
      </c>
      <c r="M11" s="328">
        <f ca="1">IF(M$12&gt;CÁLCULO.NúmeroDeFrentes,"",OFFSET(CÁLCULO!$P$12,0,M$12))</f>
        <v>0</v>
      </c>
      <c r="N11" s="328">
        <f ca="1">IF(N$12&gt;CÁLCULO.NúmeroDeFrentes,"",OFFSET(CÁLCULO!$P$12,0,N$12))</f>
        <v>0</v>
      </c>
      <c r="O11" s="328">
        <f ca="1">IF(O$12&gt;CÁLCULO.NúmeroDeFrentes,"",OFFSET(CÁLCULO!$P$12,0,O$12))</f>
        <v>0</v>
      </c>
      <c r="P11" s="328">
        <f ca="1">IF(P$12&gt;CÁLCULO.NúmeroDeFrentes,"",OFFSET(CÁLCULO!$P$12,0,P$12))</f>
        <v>0</v>
      </c>
      <c r="Q11" s="328">
        <f ca="1">IF(Q$12&gt;CÁLCULO.NúmeroDeFrentes,"",OFFSET(CÁLCULO!$P$12,0,Q$12))</f>
        <v>0</v>
      </c>
      <c r="R11" s="328" t="str">
        <f ca="1">IF(R$12&gt;CÁLCULO.NúmeroDeFrentes,"",OFFSET(CÁLCULO!$P$12,0,R$12))</f>
        <v/>
      </c>
      <c r="S11" s="328" t="str">
        <f ca="1">IF(S$12&gt;CÁLCULO.NúmeroDeFrentes,"",OFFSET(CÁLCULO!$P$12,0,S$12))</f>
        <v/>
      </c>
      <c r="T11" s="328" t="str">
        <f ca="1">IF(T$12&gt;CÁLCULO.NúmeroDeFrentes,"",OFFSET(CÁLCULO!$P$12,0,T$12))</f>
        <v/>
      </c>
      <c r="U11" s="328" t="str">
        <f ca="1">IF(U$12&gt;CÁLCULO.NúmeroDeFrentes,"",OFFSET(CÁLCULO!$P$12,0,U$12))</f>
        <v/>
      </c>
      <c r="V11" s="328" t="str">
        <f ca="1">IF(V$12&gt;CÁLCULO.NúmeroDeFrentes,"",OFFSET(CÁLCULO!$P$12,0,V$12))</f>
        <v/>
      </c>
      <c r="W11" s="328" t="str">
        <f ca="1">IF(W$12&gt;CÁLCULO.NúmeroDeFrentes,"",OFFSET(CÁLCULO!$P$12,0,W$12))</f>
        <v/>
      </c>
      <c r="X11" s="328" t="str">
        <f ca="1">IF(X$12&gt;CÁLCULO.NúmeroDeFrentes,"",OFFSET(CÁLCULO!$P$12,0,X$12))</f>
        <v/>
      </c>
      <c r="Y11" s="328" t="str">
        <f ca="1">IF(Y$12&gt;CÁLCULO.NúmeroDeFrentes,"",OFFSET(CÁLCULO!$P$12,0,Y$12))</f>
        <v/>
      </c>
      <c r="Z11" s="328" t="str">
        <f ca="1">IF(Z$12&gt;CÁLCULO.NúmeroDeFrentes,"",OFFSET(CÁLCULO!$P$12,0,Z$12))</f>
        <v/>
      </c>
      <c r="AA11" s="328" t="str">
        <f ca="1">IF(AA$12&gt;CÁLCULO.NúmeroDeFrentes,"",OFFSET(CÁLCULO!$P$12,0,AA$12))</f>
        <v/>
      </c>
      <c r="AB11" s="328" t="str">
        <f ca="1">IF(AB$12&gt;CÁLCULO.NúmeroDeFrentes,"",OFFSET(CÁLCULO!$P$12,0,AB$12))</f>
        <v/>
      </c>
      <c r="AC11" s="328" t="str">
        <f ca="1">IF(AC$12&gt;CÁLCULO.NúmeroDeFrentes,"",OFFSET(CÁLCULO!$P$12,0,AC$12))</f>
        <v/>
      </c>
      <c r="AD11" s="328" t="str">
        <f ca="1">IF(AD$12&gt;CÁLCULO.NúmeroDeFrentes,"",OFFSET(CÁLCULO!$P$12,0,AD$12))</f>
        <v/>
      </c>
      <c r="AE11" s="328" t="str">
        <f ca="1">IF(AE$12&gt;CÁLCULO.NúmeroDeFrentes,"",OFFSET(CÁLCULO!$P$12,0,AE$12))</f>
        <v/>
      </c>
      <c r="AF11" s="328" t="str">
        <f ca="1">IF(AF$12&gt;CÁLCULO.NúmeroDeFrentes,"",OFFSET(CÁLCULO!$P$12,0,AF$12))</f>
        <v/>
      </c>
    </row>
    <row r="12" spans="1:33" ht="12.75" customHeight="1">
      <c r="A12" s="131" t="s">
        <v>217</v>
      </c>
      <c r="B12" s="741" t="s">
        <v>266</v>
      </c>
      <c r="C12" s="741" t="s">
        <v>291</v>
      </c>
      <c r="D12" s="741"/>
      <c r="F12" s="329">
        <f ca="1">OFFSET(F12,0,-1)+1</f>
        <v>1</v>
      </c>
      <c r="H12" s="329">
        <f ca="1">OFFSET(H12,0,-1)+1</f>
        <v>1</v>
      </c>
      <c r="I12" s="329">
        <f ca="1">OFFSET(I12,0,-1)+1</f>
        <v>2</v>
      </c>
      <c r="J12" s="329">
        <f t="shared" ref="J12:AF12" ca="1" si="0">OFFSET(J12,0,-1)+1</f>
        <v>3</v>
      </c>
      <c r="K12" s="329">
        <f t="shared" ca="1" si="0"/>
        <v>4</v>
      </c>
      <c r="L12" s="329">
        <f t="shared" ca="1" si="0"/>
        <v>5</v>
      </c>
      <c r="M12" s="329">
        <f t="shared" ca="1" si="0"/>
        <v>6</v>
      </c>
      <c r="N12" s="329">
        <f t="shared" ca="1" si="0"/>
        <v>7</v>
      </c>
      <c r="O12" s="329">
        <f t="shared" ca="1" si="0"/>
        <v>8</v>
      </c>
      <c r="P12" s="329">
        <f t="shared" ca="1" si="0"/>
        <v>9</v>
      </c>
      <c r="Q12" s="329">
        <f t="shared" ca="1" si="0"/>
        <v>10</v>
      </c>
      <c r="R12" s="329">
        <f t="shared" ca="1" si="0"/>
        <v>11</v>
      </c>
      <c r="S12" s="329">
        <f t="shared" ca="1" si="0"/>
        <v>12</v>
      </c>
      <c r="T12" s="329">
        <f t="shared" ca="1" si="0"/>
        <v>13</v>
      </c>
      <c r="U12" s="329">
        <f t="shared" ca="1" si="0"/>
        <v>14</v>
      </c>
      <c r="V12" s="329">
        <f t="shared" ca="1" si="0"/>
        <v>15</v>
      </c>
      <c r="W12" s="329">
        <f t="shared" ca="1" si="0"/>
        <v>16</v>
      </c>
      <c r="X12" s="329">
        <f t="shared" ca="1" si="0"/>
        <v>17</v>
      </c>
      <c r="Y12" s="329">
        <f t="shared" ca="1" si="0"/>
        <v>18</v>
      </c>
      <c r="Z12" s="329">
        <f t="shared" ca="1" si="0"/>
        <v>19</v>
      </c>
      <c r="AA12" s="329">
        <f t="shared" ca="1" si="0"/>
        <v>20</v>
      </c>
      <c r="AB12" s="329">
        <f t="shared" ca="1" si="0"/>
        <v>21</v>
      </c>
      <c r="AC12" s="329">
        <f t="shared" ca="1" si="0"/>
        <v>22</v>
      </c>
      <c r="AD12" s="329">
        <f t="shared" ca="1" si="0"/>
        <v>23</v>
      </c>
      <c r="AE12" s="329">
        <f t="shared" ca="1" si="0"/>
        <v>24</v>
      </c>
      <c r="AF12" s="329">
        <f t="shared" ca="1" si="0"/>
        <v>25</v>
      </c>
    </row>
    <row r="13" spans="1:33">
      <c r="B13" s="741"/>
      <c r="C13" s="741"/>
      <c r="D13" s="741"/>
      <c r="F13" s="331"/>
      <c r="H13" s="331"/>
      <c r="I13" s="330"/>
      <c r="J13" s="330"/>
      <c r="K13" s="330"/>
      <c r="L13" s="330"/>
      <c r="M13" s="330"/>
      <c r="N13" s="330" t="s">
        <v>297</v>
      </c>
      <c r="O13" s="330"/>
      <c r="P13" s="330"/>
      <c r="Q13" s="330"/>
      <c r="R13" s="330"/>
      <c r="S13" s="330"/>
      <c r="T13" s="330"/>
      <c r="U13" s="330"/>
      <c r="V13" s="330"/>
      <c r="W13" s="330"/>
      <c r="X13" s="330"/>
      <c r="Y13" s="330"/>
      <c r="Z13" s="330"/>
      <c r="AA13" s="330"/>
      <c r="AB13" s="330"/>
      <c r="AC13" s="330"/>
      <c r="AD13" s="330"/>
      <c r="AE13" s="330"/>
      <c r="AF13" s="332"/>
    </row>
    <row r="14" spans="1:33" ht="7.5" customHeight="1">
      <c r="A14" s="9" t="s">
        <v>246</v>
      </c>
    </row>
    <row r="15" spans="1:33">
      <c r="A15" s="9" t="str">
        <f ca="1">IF(AND(AUTOEVENTO="Manual",OFFSET(EVENTOS!$F$14,1,0)&gt;0),"F","")</f>
        <v/>
      </c>
      <c r="B15" s="333">
        <v>1</v>
      </c>
      <c r="C15" s="751" t="s">
        <v>269</v>
      </c>
      <c r="D15" s="751"/>
      <c r="F15" s="336"/>
      <c r="H15" s="336" t="str">
        <f ca="1">IF(AUTOEVENTO="MANUAL","A administração local será proporcional a execução dos demais eventos, independente de frentes de obra.","Para aplicação de Adm. Local é necessário definir os eventos manualmente.")</f>
        <v>Para aplicação de Adm. Local é necessário definir os eventos manualmente.</v>
      </c>
      <c r="I15" s="335"/>
      <c r="J15" s="335"/>
      <c r="K15" s="335"/>
      <c r="L15" s="335"/>
      <c r="M15" s="335"/>
      <c r="N15" s="335"/>
      <c r="O15" s="335"/>
      <c r="P15" s="335"/>
      <c r="Q15" s="335"/>
      <c r="R15" s="335"/>
      <c r="S15" s="335"/>
      <c r="T15" s="335"/>
      <c r="U15" s="335"/>
      <c r="V15" s="335"/>
      <c r="W15" s="335"/>
      <c r="X15" s="335"/>
      <c r="Y15" s="335"/>
      <c r="Z15" s="335"/>
      <c r="AA15" s="335"/>
      <c r="AB15" s="335"/>
      <c r="AC15" s="335"/>
      <c r="AD15" s="335"/>
      <c r="AE15" s="335"/>
      <c r="AF15" s="337"/>
    </row>
    <row r="16" spans="1:33">
      <c r="A16" s="9" t="str">
        <f ca="1">IF(AUTOEVENTO="Manual",IF(OFFSET(EVENTOS!$F$14,PLE!$B16,0)&gt;0,"F",""),IF(PLE!B16&lt;=MAX(CÁLCULO!$M$15:$M$43),"F",""))</f>
        <v>F</v>
      </c>
      <c r="B16" s="322">
        <f t="shared" ref="B16:B64" ca="1" si="1">OFFSET(B16,-1,0)+1</f>
        <v>2</v>
      </c>
      <c r="C16" s="742" t="str">
        <f ca="1">IF(AUTOEVENTO="Manual",IF($B16&lt;&gt;1,OFFSET(EVENTOS!$D$14,$B16,0),0),IF(B16&lt;=MAX(CÁLCULO!$M$15:$M$43),VLOOKUP($B16,CÁLCULO!$M$15:$N$43,2,FALSE),0))</f>
        <v>INSTALAÇÕES INICIAIS DA OBRA</v>
      </c>
      <c r="D16" s="742"/>
      <c r="F16" s="324"/>
      <c r="H16" s="324"/>
      <c r="I16" s="324"/>
      <c r="J16" s="324"/>
      <c r="K16" s="324"/>
      <c r="L16" s="324"/>
      <c r="M16" s="324"/>
      <c r="N16" s="324"/>
      <c r="O16" s="324"/>
      <c r="P16" s="324"/>
      <c r="Q16" s="324"/>
      <c r="R16" s="324"/>
      <c r="S16" s="324"/>
      <c r="T16" s="324"/>
      <c r="U16" s="324"/>
      <c r="V16" s="324"/>
      <c r="W16" s="324"/>
      <c r="X16" s="324"/>
      <c r="Y16" s="324"/>
      <c r="Z16" s="324"/>
      <c r="AA16" s="324"/>
      <c r="AB16" s="324"/>
      <c r="AC16" s="324"/>
      <c r="AD16" s="324"/>
      <c r="AE16" s="324"/>
      <c r="AF16" s="324"/>
    </row>
    <row r="17" spans="1:32">
      <c r="A17" s="9" t="str">
        <f ca="1">IF(AUTOEVENTO="Manual",IF(OFFSET(EVENTOS!$F$14,PLE!$B17,0)&gt;0,"F",""),IF(PLE!B17&lt;=MAX(CÁLCULO!$M$15:$M$43),"F",""))</f>
        <v>F</v>
      </c>
      <c r="B17" s="322">
        <f t="shared" ca="1" si="1"/>
        <v>3</v>
      </c>
      <c r="C17" s="742" t="str">
        <f ca="1">IF(AUTOEVENTO="Manual",IF($B17&lt;&gt;1,OFFSET(EVENTOS!$D$14,$B17,0),0),IF(B17&lt;=MAX(CÁLCULO!$M$15:$M$43),VLOOKUP($B17,CÁLCULO!$M$15:$N$43,2,FALSE),0))</f>
        <v>ADMINISTRAÇÃO DE OBRA</v>
      </c>
      <c r="D17" s="742"/>
      <c r="F17" s="324"/>
      <c r="H17" s="324"/>
      <c r="I17" s="324"/>
      <c r="J17" s="324"/>
      <c r="K17" s="324"/>
      <c r="L17" s="324"/>
      <c r="M17" s="324"/>
      <c r="N17" s="324"/>
      <c r="O17" s="324"/>
      <c r="P17" s="324"/>
      <c r="Q17" s="324"/>
      <c r="R17" s="324"/>
      <c r="S17" s="324"/>
      <c r="T17" s="324"/>
      <c r="U17" s="324"/>
      <c r="V17" s="324"/>
      <c r="W17" s="324"/>
      <c r="X17" s="324"/>
      <c r="Y17" s="324"/>
      <c r="Z17" s="324"/>
      <c r="AA17" s="324"/>
      <c r="AB17" s="324"/>
      <c r="AC17" s="324"/>
      <c r="AD17" s="324"/>
      <c r="AE17" s="324"/>
      <c r="AF17" s="324"/>
    </row>
    <row r="18" spans="1:32">
      <c r="A18" s="9" t="str">
        <f ca="1">IF(AUTOEVENTO="Manual",IF(OFFSET(EVENTOS!$F$14,PLE!$B18,0)&gt;0,"F",""),IF(PLE!B18&lt;=MAX(CÁLCULO!$M$15:$M$43),"F",""))</f>
        <v>F</v>
      </c>
      <c r="B18" s="322">
        <f t="shared" ca="1" si="1"/>
        <v>4</v>
      </c>
      <c r="C18" s="742" t="str">
        <f ca="1">IF(AUTOEVENTO="Manual",IF($B18&lt;&gt;1,OFFSET(EVENTOS!$D$14,$B18,0),0),IF(B18&lt;=MAX(CÁLCULO!$M$15:$M$43),VLOOKUP($B18,CÁLCULO!$M$15:$N$43,2,FALSE),0))</f>
        <v>MOBILIZAÇÃO</v>
      </c>
      <c r="D18" s="742"/>
      <c r="F18" s="324"/>
      <c r="H18" s="324"/>
      <c r="I18" s="324"/>
      <c r="J18" s="324"/>
      <c r="K18" s="324"/>
      <c r="L18" s="324"/>
      <c r="M18" s="324"/>
      <c r="N18" s="324"/>
      <c r="O18" s="324"/>
      <c r="P18" s="324"/>
      <c r="Q18" s="324"/>
      <c r="R18" s="324"/>
      <c r="S18" s="324"/>
      <c r="T18" s="324"/>
      <c r="U18" s="324"/>
      <c r="V18" s="324"/>
      <c r="W18" s="324"/>
      <c r="X18" s="324"/>
      <c r="Y18" s="324"/>
      <c r="Z18" s="324"/>
      <c r="AA18" s="324"/>
      <c r="AB18" s="324"/>
      <c r="AC18" s="324"/>
      <c r="AD18" s="324"/>
      <c r="AE18" s="324"/>
      <c r="AF18" s="324"/>
    </row>
    <row r="19" spans="1:32">
      <c r="A19" s="9" t="str">
        <f ca="1">IF(AUTOEVENTO="Manual",IF(OFFSET(EVENTOS!$F$14,PLE!$B19,0)&gt;0,"F",""),IF(PLE!B19&lt;=MAX(CÁLCULO!$M$15:$M$43),"F",""))</f>
        <v>F</v>
      </c>
      <c r="B19" s="322">
        <f t="shared" ca="1" si="1"/>
        <v>5</v>
      </c>
      <c r="C19" s="742" t="str">
        <f ca="1">IF(AUTOEVENTO="Manual",IF($B19&lt;&gt;1,OFFSET(EVENTOS!$D$14,$B19,0),0),IF(B19&lt;=MAX(CÁLCULO!$M$15:$M$43),VLOOKUP($B19,CÁLCULO!$M$15:$N$43,2,FALSE),0))</f>
        <v>RECAPEAMENTO ASFÁLTICO</v>
      </c>
      <c r="D19" s="742"/>
      <c r="F19" s="324"/>
      <c r="H19" s="324"/>
      <c r="I19" s="324"/>
      <c r="J19" s="324"/>
      <c r="K19" s="324"/>
      <c r="L19" s="324"/>
      <c r="M19" s="324"/>
      <c r="N19" s="324"/>
      <c r="O19" s="324"/>
      <c r="P19" s="324"/>
      <c r="Q19" s="324"/>
      <c r="R19" s="324"/>
      <c r="S19" s="324"/>
      <c r="T19" s="324"/>
      <c r="U19" s="324"/>
      <c r="V19" s="324"/>
      <c r="W19" s="324"/>
      <c r="X19" s="324"/>
      <c r="Y19" s="324"/>
      <c r="Z19" s="324"/>
      <c r="AA19" s="324"/>
      <c r="AB19" s="324"/>
      <c r="AC19" s="324"/>
      <c r="AD19" s="324"/>
      <c r="AE19" s="324"/>
      <c r="AF19" s="324"/>
    </row>
    <row r="20" spans="1:32">
      <c r="A20" s="9" t="str">
        <f ca="1">IF(AUTOEVENTO="Manual",IF(OFFSET(EVENTOS!$F$14,PLE!$B20,0)&gt;0,"F",""),IF(PLE!B20&lt;=MAX(CÁLCULO!$M$15:$M$43),"F",""))</f>
        <v>F</v>
      </c>
      <c r="B20" s="322">
        <f t="shared" ca="1" si="1"/>
        <v>6</v>
      </c>
      <c r="C20" s="742" t="str">
        <f ca="1">IF(AUTOEVENTO="Manual",IF($B20&lt;&gt;1,OFFSET(EVENTOS!$D$14,$B20,0),0),IF(B20&lt;=MAX(CÁLCULO!$M$15:$M$43),VLOOKUP($B20,CÁLCULO!$M$15:$N$43,2,FALSE),0))</f>
        <v>SINALIZAÇÃO VERTICAL</v>
      </c>
      <c r="D20" s="742"/>
      <c r="F20" s="324"/>
      <c r="H20" s="324"/>
      <c r="I20" s="324"/>
      <c r="J20" s="324"/>
      <c r="K20" s="324"/>
      <c r="L20" s="324"/>
      <c r="M20" s="324"/>
      <c r="N20" s="324"/>
      <c r="O20" s="324"/>
      <c r="P20" s="324"/>
      <c r="Q20" s="324"/>
      <c r="R20" s="324"/>
      <c r="S20" s="324"/>
      <c r="T20" s="324"/>
      <c r="U20" s="324"/>
      <c r="V20" s="324"/>
      <c r="W20" s="324"/>
      <c r="X20" s="324"/>
      <c r="Y20" s="324"/>
      <c r="Z20" s="324"/>
      <c r="AA20" s="324"/>
      <c r="AB20" s="324"/>
      <c r="AC20" s="324"/>
      <c r="AD20" s="324"/>
      <c r="AE20" s="324"/>
      <c r="AF20" s="324"/>
    </row>
    <row r="21" spans="1:32">
      <c r="A21" s="9" t="str">
        <f ca="1">IF(AUTOEVENTO="Manual",IF(OFFSET(EVENTOS!$F$14,PLE!$B21,0)&gt;0,"F",""),IF(PLE!B21&lt;=MAX(CÁLCULO!$M$15:$M$43),"F",""))</f>
        <v>F</v>
      </c>
      <c r="B21" s="322">
        <f t="shared" ca="1" si="1"/>
        <v>7</v>
      </c>
      <c r="C21" s="742" t="str">
        <f ca="1">IF(AUTOEVENTO="Manual",IF($B21&lt;&gt;1,OFFSET(EVENTOS!$D$14,$B21,0),0),IF(B21&lt;=MAX(CÁLCULO!$M$15:$M$43),VLOOKUP($B21,CÁLCULO!$M$15:$N$43,2,FALSE),0))</f>
        <v>SINALIZAÇÃO HORIZONTAL</v>
      </c>
      <c r="D21" s="742"/>
      <c r="F21" s="324"/>
      <c r="H21" s="324"/>
      <c r="I21" s="324"/>
      <c r="J21" s="324"/>
      <c r="K21" s="324"/>
      <c r="L21" s="324"/>
      <c r="M21" s="324"/>
      <c r="N21" s="324"/>
      <c r="O21" s="324"/>
      <c r="P21" s="324"/>
      <c r="Q21" s="324"/>
      <c r="R21" s="324"/>
      <c r="S21" s="324"/>
      <c r="T21" s="324"/>
      <c r="U21" s="324"/>
      <c r="V21" s="324"/>
      <c r="W21" s="324"/>
      <c r="X21" s="324"/>
      <c r="Y21" s="324"/>
      <c r="Z21" s="324"/>
      <c r="AA21" s="324"/>
      <c r="AB21" s="324"/>
      <c r="AC21" s="324"/>
      <c r="AD21" s="324"/>
      <c r="AE21" s="324"/>
      <c r="AF21" s="324"/>
    </row>
    <row r="22" spans="1:32">
      <c r="A22" s="9" t="str">
        <f ca="1">IF(AUTOEVENTO="Manual",IF(OFFSET(EVENTOS!$F$14,PLE!$B22,0)&gt;0,"F",""),IF(PLE!B22&lt;=MAX(CÁLCULO!$M$15:$M$43),"F",""))</f>
        <v/>
      </c>
      <c r="B22" s="322">
        <f t="shared" ca="1" si="1"/>
        <v>8</v>
      </c>
      <c r="C22" s="742">
        <f ca="1">IF(AUTOEVENTO="Manual",IF($B22&lt;&gt;1,OFFSET(EVENTOS!$D$14,$B22,0),0),IF(B22&lt;=MAX(CÁLCULO!$M$15:$M$43),VLOOKUP($B22,CÁLCULO!$M$15:$N$43,2,FALSE),0))</f>
        <v>0</v>
      </c>
      <c r="D22" s="742"/>
      <c r="F22" s="324"/>
      <c r="H22" s="324"/>
      <c r="I22" s="324"/>
      <c r="J22" s="324"/>
      <c r="K22" s="324"/>
      <c r="L22" s="324"/>
      <c r="M22" s="324"/>
      <c r="N22" s="324"/>
      <c r="O22" s="324"/>
      <c r="P22" s="324"/>
      <c r="Q22" s="324"/>
      <c r="R22" s="324"/>
      <c r="S22" s="324"/>
      <c r="T22" s="324"/>
      <c r="U22" s="324"/>
      <c r="V22" s="324"/>
      <c r="W22" s="324"/>
      <c r="X22" s="324"/>
      <c r="Y22" s="324"/>
      <c r="Z22" s="324"/>
      <c r="AA22" s="324"/>
      <c r="AB22" s="324"/>
      <c r="AC22" s="324"/>
      <c r="AD22" s="324"/>
      <c r="AE22" s="324"/>
      <c r="AF22" s="324"/>
    </row>
    <row r="23" spans="1:32">
      <c r="A23" s="9" t="str">
        <f ca="1">IF(AUTOEVENTO="Manual",IF(OFFSET(EVENTOS!$F$14,PLE!$B23,0)&gt;0,"F",""),IF(PLE!B23&lt;=MAX(CÁLCULO!$M$15:$M$43),"F",""))</f>
        <v/>
      </c>
      <c r="B23" s="322">
        <f t="shared" ca="1" si="1"/>
        <v>9</v>
      </c>
      <c r="C23" s="742">
        <f ca="1">IF(AUTOEVENTO="Manual",IF($B23&lt;&gt;1,OFFSET(EVENTOS!$D$14,$B23,0),0),IF(B23&lt;=MAX(CÁLCULO!$M$15:$M$43),VLOOKUP($B23,CÁLCULO!$M$15:$N$43,2,FALSE),0))</f>
        <v>0</v>
      </c>
      <c r="D23" s="742"/>
      <c r="F23" s="324"/>
      <c r="H23" s="324"/>
      <c r="I23" s="324"/>
      <c r="J23" s="324"/>
      <c r="K23" s="324"/>
      <c r="L23" s="324"/>
      <c r="M23" s="324"/>
      <c r="N23" s="324"/>
      <c r="O23" s="324"/>
      <c r="P23" s="324"/>
      <c r="Q23" s="324"/>
      <c r="R23" s="324"/>
      <c r="S23" s="324"/>
      <c r="T23" s="324"/>
      <c r="U23" s="324"/>
      <c r="V23" s="324"/>
      <c r="W23" s="324"/>
      <c r="X23" s="324"/>
      <c r="Y23" s="324"/>
      <c r="Z23" s="324"/>
      <c r="AA23" s="324"/>
      <c r="AB23" s="324"/>
      <c r="AC23" s="324"/>
      <c r="AD23" s="324"/>
      <c r="AE23" s="324"/>
      <c r="AF23" s="324"/>
    </row>
    <row r="24" spans="1:32">
      <c r="A24" s="9" t="str">
        <f ca="1">IF(AUTOEVENTO="Manual",IF(OFFSET(EVENTOS!$F$14,PLE!$B24,0)&gt;0,"F",""),IF(PLE!B24&lt;=MAX(CÁLCULO!$M$15:$M$43),"F",""))</f>
        <v/>
      </c>
      <c r="B24" s="322">
        <f t="shared" ca="1" si="1"/>
        <v>10</v>
      </c>
      <c r="C24" s="742">
        <f ca="1">IF(AUTOEVENTO="Manual",IF($B24&lt;&gt;1,OFFSET(EVENTOS!$D$14,$B24,0),0),IF(B24&lt;=MAX(CÁLCULO!$M$15:$M$43),VLOOKUP($B24,CÁLCULO!$M$15:$N$43,2,FALSE),0))</f>
        <v>0</v>
      </c>
      <c r="D24" s="742"/>
      <c r="F24" s="324"/>
      <c r="H24" s="324"/>
      <c r="I24" s="324"/>
      <c r="J24" s="324"/>
      <c r="K24" s="324"/>
      <c r="L24" s="324"/>
      <c r="M24" s="324"/>
      <c r="N24" s="324"/>
      <c r="O24" s="324"/>
      <c r="P24" s="324"/>
      <c r="Q24" s="324"/>
      <c r="R24" s="324"/>
      <c r="S24" s="324"/>
      <c r="T24" s="324"/>
      <c r="U24" s="324"/>
      <c r="V24" s="324"/>
      <c r="W24" s="324"/>
      <c r="X24" s="324"/>
      <c r="Y24" s="324"/>
      <c r="Z24" s="324"/>
      <c r="AA24" s="324"/>
      <c r="AB24" s="324"/>
      <c r="AC24" s="324"/>
      <c r="AD24" s="324"/>
      <c r="AE24" s="324"/>
      <c r="AF24" s="324"/>
    </row>
    <row r="25" spans="1:32">
      <c r="A25" s="9" t="str">
        <f ca="1">IF(AUTOEVENTO="Manual",IF(OFFSET(EVENTOS!$F$14,PLE!$B25,0)&gt;0,"F",""),IF(PLE!B25&lt;=MAX(CÁLCULO!$M$15:$M$43),"F",""))</f>
        <v/>
      </c>
      <c r="B25" s="322">
        <f t="shared" ca="1" si="1"/>
        <v>11</v>
      </c>
      <c r="C25" s="742">
        <f ca="1">IF(AUTOEVENTO="Manual",IF($B25&lt;&gt;1,OFFSET(EVENTOS!$D$14,$B25,0),0),IF(B25&lt;=MAX(CÁLCULO!$M$15:$M$43),VLOOKUP($B25,CÁLCULO!$M$15:$N$43,2,FALSE),0))</f>
        <v>0</v>
      </c>
      <c r="D25" s="742"/>
      <c r="F25" s="324"/>
      <c r="H25" s="324"/>
      <c r="I25" s="324"/>
      <c r="J25" s="324"/>
      <c r="K25" s="324"/>
      <c r="L25" s="324"/>
      <c r="M25" s="324"/>
      <c r="N25" s="324"/>
      <c r="O25" s="324"/>
      <c r="P25" s="324"/>
      <c r="Q25" s="324"/>
      <c r="R25" s="324"/>
      <c r="S25" s="324"/>
      <c r="T25" s="324"/>
      <c r="U25" s="324"/>
      <c r="V25" s="324"/>
      <c r="W25" s="324"/>
      <c r="X25" s="324"/>
      <c r="Y25" s="324"/>
      <c r="Z25" s="324"/>
      <c r="AA25" s="324"/>
      <c r="AB25" s="324"/>
      <c r="AC25" s="324"/>
      <c r="AD25" s="324"/>
      <c r="AE25" s="324"/>
      <c r="AF25" s="324"/>
    </row>
    <row r="26" spans="1:32">
      <c r="A26" s="9" t="str">
        <f ca="1">IF(AUTOEVENTO="Manual",IF(OFFSET(EVENTOS!$F$14,PLE!$B26,0)&gt;0,"F",""),IF(PLE!B26&lt;=MAX(CÁLCULO!$M$15:$M$43),"F",""))</f>
        <v/>
      </c>
      <c r="B26" s="322">
        <f t="shared" ca="1" si="1"/>
        <v>12</v>
      </c>
      <c r="C26" s="742">
        <f ca="1">IF(AUTOEVENTO="Manual",IF($B26&lt;&gt;1,OFFSET(EVENTOS!$D$14,$B26,0),0),IF(B26&lt;=MAX(CÁLCULO!$M$15:$M$43),VLOOKUP($B26,CÁLCULO!$M$15:$N$43,2,FALSE),0))</f>
        <v>0</v>
      </c>
      <c r="D26" s="742"/>
      <c r="F26" s="324"/>
      <c r="H26" s="324"/>
      <c r="I26" s="324"/>
      <c r="J26" s="324"/>
      <c r="K26" s="324"/>
      <c r="L26" s="324"/>
      <c r="M26" s="324"/>
      <c r="N26" s="324"/>
      <c r="O26" s="324"/>
      <c r="P26" s="324"/>
      <c r="Q26" s="324"/>
      <c r="R26" s="324"/>
      <c r="S26" s="324"/>
      <c r="T26" s="324"/>
      <c r="U26" s="324"/>
      <c r="V26" s="324"/>
      <c r="W26" s="324"/>
      <c r="X26" s="324"/>
      <c r="Y26" s="324"/>
      <c r="Z26" s="324"/>
      <c r="AA26" s="324"/>
      <c r="AB26" s="324"/>
      <c r="AC26" s="324"/>
      <c r="AD26" s="324"/>
      <c r="AE26" s="324"/>
      <c r="AF26" s="324"/>
    </row>
    <row r="27" spans="1:32">
      <c r="A27" s="9" t="str">
        <f ca="1">IF(AUTOEVENTO="Manual",IF(OFFSET(EVENTOS!$F$14,PLE!$B27,0)&gt;0,"F",""),IF(PLE!B27&lt;=MAX(CÁLCULO!$M$15:$M$43),"F",""))</f>
        <v/>
      </c>
      <c r="B27" s="322">
        <f t="shared" ca="1" si="1"/>
        <v>13</v>
      </c>
      <c r="C27" s="742">
        <f ca="1">IF(AUTOEVENTO="Manual",IF($B27&lt;&gt;1,OFFSET(EVENTOS!$D$14,$B27,0),0),IF(B27&lt;=MAX(CÁLCULO!$M$15:$M$43),VLOOKUP($B27,CÁLCULO!$M$15:$N$43,2,FALSE),0))</f>
        <v>0</v>
      </c>
      <c r="D27" s="742"/>
      <c r="F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4"/>
      <c r="T27" s="324"/>
      <c r="U27" s="324"/>
      <c r="V27" s="324"/>
      <c r="W27" s="324"/>
      <c r="X27" s="324"/>
      <c r="Y27" s="324"/>
      <c r="Z27" s="324"/>
      <c r="AA27" s="324"/>
      <c r="AB27" s="324"/>
      <c r="AC27" s="324"/>
      <c r="AD27" s="324"/>
      <c r="AE27" s="324"/>
      <c r="AF27" s="324"/>
    </row>
    <row r="28" spans="1:32">
      <c r="A28" s="9" t="str">
        <f ca="1">IF(AUTOEVENTO="Manual",IF(OFFSET(EVENTOS!$F$14,PLE!$B28,0)&gt;0,"F",""),IF(PLE!B28&lt;=MAX(CÁLCULO!$M$15:$M$43),"F",""))</f>
        <v/>
      </c>
      <c r="B28" s="322">
        <f t="shared" ca="1" si="1"/>
        <v>14</v>
      </c>
      <c r="C28" s="742">
        <f ca="1">IF(AUTOEVENTO="Manual",IF($B28&lt;&gt;1,OFFSET(EVENTOS!$D$14,$B28,0),0),IF(B28&lt;=MAX(CÁLCULO!$M$15:$M$43),VLOOKUP($B28,CÁLCULO!$M$15:$N$43,2,FALSE),0))</f>
        <v>0</v>
      </c>
      <c r="D28" s="742"/>
      <c r="F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4"/>
      <c r="T28" s="324"/>
      <c r="U28" s="324"/>
      <c r="V28" s="324"/>
      <c r="W28" s="324"/>
      <c r="X28" s="324"/>
      <c r="Y28" s="324"/>
      <c r="Z28" s="324"/>
      <c r="AA28" s="324"/>
      <c r="AB28" s="324"/>
      <c r="AC28" s="324"/>
      <c r="AD28" s="324"/>
      <c r="AE28" s="324"/>
      <c r="AF28" s="324"/>
    </row>
    <row r="29" spans="1:32">
      <c r="A29" s="9" t="str">
        <f ca="1">IF(AUTOEVENTO="Manual",IF(OFFSET(EVENTOS!$F$14,PLE!$B29,0)&gt;0,"F",""),IF(PLE!B29&lt;=MAX(CÁLCULO!$M$15:$M$43),"F",""))</f>
        <v/>
      </c>
      <c r="B29" s="322">
        <f t="shared" ca="1" si="1"/>
        <v>15</v>
      </c>
      <c r="C29" s="742">
        <f ca="1">IF(AUTOEVENTO="Manual",IF($B29&lt;&gt;1,OFFSET(EVENTOS!$D$14,$B29,0),0),IF(B29&lt;=MAX(CÁLCULO!$M$15:$M$43),VLOOKUP($B29,CÁLCULO!$M$15:$N$43,2,FALSE),0))</f>
        <v>0</v>
      </c>
      <c r="D29" s="742"/>
      <c r="F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4"/>
      <c r="T29" s="324"/>
      <c r="U29" s="324"/>
      <c r="V29" s="324"/>
      <c r="W29" s="324"/>
      <c r="X29" s="324"/>
      <c r="Y29" s="324"/>
      <c r="Z29" s="324"/>
      <c r="AA29" s="324"/>
      <c r="AB29" s="324"/>
      <c r="AC29" s="324"/>
      <c r="AD29" s="324"/>
      <c r="AE29" s="324"/>
      <c r="AF29" s="324"/>
    </row>
    <row r="30" spans="1:32">
      <c r="A30" s="9" t="str">
        <f ca="1">IF(AUTOEVENTO="Manual",IF(OFFSET(EVENTOS!$F$14,PLE!$B30,0)&gt;0,"F",""),IF(PLE!B30&lt;=MAX(CÁLCULO!$M$15:$M$43),"F",""))</f>
        <v/>
      </c>
      <c r="B30" s="322">
        <f t="shared" ca="1" si="1"/>
        <v>16</v>
      </c>
      <c r="C30" s="742">
        <f ca="1">IF(AUTOEVENTO="Manual",IF($B30&lt;&gt;1,OFFSET(EVENTOS!$D$14,$B30,0),0),IF(B30&lt;=MAX(CÁLCULO!$M$15:$M$43),VLOOKUP($B30,CÁLCULO!$M$15:$N$43,2,FALSE),0))</f>
        <v>0</v>
      </c>
      <c r="D30" s="742"/>
      <c r="F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4"/>
      <c r="T30" s="324"/>
      <c r="U30" s="324"/>
      <c r="V30" s="324"/>
      <c r="W30" s="324"/>
      <c r="X30" s="324"/>
      <c r="Y30" s="324"/>
      <c r="Z30" s="324"/>
      <c r="AA30" s="324"/>
      <c r="AB30" s="324"/>
      <c r="AC30" s="324"/>
      <c r="AD30" s="324"/>
      <c r="AE30" s="324"/>
      <c r="AF30" s="324"/>
    </row>
    <row r="31" spans="1:32">
      <c r="A31" s="9" t="str">
        <f ca="1">IF(AUTOEVENTO="Manual",IF(OFFSET(EVENTOS!$F$14,PLE!$B31,0)&gt;0,"F",""),IF(PLE!B31&lt;=MAX(CÁLCULO!$M$15:$M$43),"F",""))</f>
        <v/>
      </c>
      <c r="B31" s="322">
        <f t="shared" ca="1" si="1"/>
        <v>17</v>
      </c>
      <c r="C31" s="742">
        <f ca="1">IF(AUTOEVENTO="Manual",IF($B31&lt;&gt;1,OFFSET(EVENTOS!$D$14,$B31,0),0),IF(B31&lt;=MAX(CÁLCULO!$M$15:$M$43),VLOOKUP($B31,CÁLCULO!$M$15:$N$43,2,FALSE),0))</f>
        <v>0</v>
      </c>
      <c r="D31" s="742"/>
      <c r="F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4"/>
      <c r="T31" s="324"/>
      <c r="U31" s="324"/>
      <c r="V31" s="324"/>
      <c r="W31" s="324"/>
      <c r="X31" s="324"/>
      <c r="Y31" s="324"/>
      <c r="Z31" s="324"/>
      <c r="AA31" s="324"/>
      <c r="AB31" s="324"/>
      <c r="AC31" s="324"/>
      <c r="AD31" s="324"/>
      <c r="AE31" s="324"/>
      <c r="AF31" s="324"/>
    </row>
    <row r="32" spans="1:32">
      <c r="A32" s="9" t="str">
        <f ca="1">IF(AUTOEVENTO="Manual",IF(OFFSET(EVENTOS!$F$14,PLE!$B32,0)&gt;0,"F",""),IF(PLE!B32&lt;=MAX(CÁLCULO!$M$15:$M$43),"F",""))</f>
        <v/>
      </c>
      <c r="B32" s="322">
        <f t="shared" ca="1" si="1"/>
        <v>18</v>
      </c>
      <c r="C32" s="742">
        <f ca="1">IF(AUTOEVENTO="Manual",IF($B32&lt;&gt;1,OFFSET(EVENTOS!$D$14,$B32,0),0),IF(B32&lt;=MAX(CÁLCULO!$M$15:$M$43),VLOOKUP($B32,CÁLCULO!$M$15:$N$43,2,FALSE),0))</f>
        <v>0</v>
      </c>
      <c r="D32" s="742"/>
      <c r="F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4"/>
      <c r="T32" s="324"/>
      <c r="U32" s="324"/>
      <c r="V32" s="324"/>
      <c r="W32" s="324"/>
      <c r="X32" s="324"/>
      <c r="Y32" s="324"/>
      <c r="Z32" s="324"/>
      <c r="AA32" s="324"/>
      <c r="AB32" s="324"/>
      <c r="AC32" s="324"/>
      <c r="AD32" s="324"/>
      <c r="AE32" s="324"/>
      <c r="AF32" s="324"/>
    </row>
    <row r="33" spans="1:32">
      <c r="A33" s="9" t="str">
        <f ca="1">IF(AUTOEVENTO="Manual",IF(OFFSET(EVENTOS!$F$14,PLE!$B33,0)&gt;0,"F",""),IF(PLE!B33&lt;=MAX(CÁLCULO!$M$15:$M$43),"F",""))</f>
        <v/>
      </c>
      <c r="B33" s="322">
        <f t="shared" ca="1" si="1"/>
        <v>19</v>
      </c>
      <c r="C33" s="742">
        <f ca="1">IF(AUTOEVENTO="Manual",IF($B33&lt;&gt;1,OFFSET(EVENTOS!$D$14,$B33,0),0),IF(B33&lt;=MAX(CÁLCULO!$M$15:$M$43),VLOOKUP($B33,CÁLCULO!$M$15:$N$43,2,FALSE),0))</f>
        <v>0</v>
      </c>
      <c r="D33" s="742"/>
      <c r="F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4"/>
      <c r="T33" s="324"/>
      <c r="U33" s="324"/>
      <c r="V33" s="324"/>
      <c r="W33" s="324"/>
      <c r="X33" s="324"/>
      <c r="Y33" s="324"/>
      <c r="Z33" s="324"/>
      <c r="AA33" s="324"/>
      <c r="AB33" s="324"/>
      <c r="AC33" s="324"/>
      <c r="AD33" s="324"/>
      <c r="AE33" s="324"/>
      <c r="AF33" s="324"/>
    </row>
    <row r="34" spans="1:32">
      <c r="A34" s="9" t="str">
        <f ca="1">IF(AUTOEVENTO="Manual",IF(OFFSET(EVENTOS!$F$14,PLE!$B34,0)&gt;0,"F",""),IF(PLE!B34&lt;=MAX(CÁLCULO!$M$15:$M$43),"F",""))</f>
        <v/>
      </c>
      <c r="B34" s="322">
        <f t="shared" ca="1" si="1"/>
        <v>20</v>
      </c>
      <c r="C34" s="742">
        <f ca="1">IF(AUTOEVENTO="Manual",IF($B34&lt;&gt;1,OFFSET(EVENTOS!$D$14,$B34,0),0),IF(B34&lt;=MAX(CÁLCULO!$M$15:$M$43),VLOOKUP($B34,CÁLCULO!$M$15:$N$43,2,FALSE),0))</f>
        <v>0</v>
      </c>
      <c r="D34" s="742"/>
      <c r="F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4"/>
      <c r="T34" s="324"/>
      <c r="U34" s="324"/>
      <c r="V34" s="324"/>
      <c r="W34" s="324"/>
      <c r="X34" s="324"/>
      <c r="Y34" s="324"/>
      <c r="Z34" s="324"/>
      <c r="AA34" s="324"/>
      <c r="AB34" s="324"/>
      <c r="AC34" s="324"/>
      <c r="AD34" s="324"/>
      <c r="AE34" s="324"/>
      <c r="AF34" s="324"/>
    </row>
    <row r="35" spans="1:32">
      <c r="A35" s="9" t="str">
        <f ca="1">IF(AUTOEVENTO="Manual",IF(OFFSET(EVENTOS!$F$14,PLE!$B35,0)&gt;0,"F",""),IF(PLE!B35&lt;=MAX(CÁLCULO!$M$15:$M$43),"F",""))</f>
        <v/>
      </c>
      <c r="B35" s="322">
        <f t="shared" ca="1" si="1"/>
        <v>21</v>
      </c>
      <c r="C35" s="742">
        <f ca="1">IF(AUTOEVENTO="Manual",IF($B35&lt;&gt;1,OFFSET(EVENTOS!$D$14,$B35,0),0),IF(B35&lt;=MAX(CÁLCULO!$M$15:$M$43),VLOOKUP($B35,CÁLCULO!$M$15:$N$43,2,FALSE),0))</f>
        <v>0</v>
      </c>
      <c r="D35" s="742"/>
      <c r="F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4"/>
      <c r="T35" s="324"/>
      <c r="U35" s="324"/>
      <c r="V35" s="324"/>
      <c r="W35" s="324"/>
      <c r="X35" s="324"/>
      <c r="Y35" s="324"/>
      <c r="Z35" s="324"/>
      <c r="AA35" s="324"/>
      <c r="AB35" s="324"/>
      <c r="AC35" s="324"/>
      <c r="AD35" s="324"/>
      <c r="AE35" s="324"/>
      <c r="AF35" s="324"/>
    </row>
    <row r="36" spans="1:32">
      <c r="A36" s="9" t="str">
        <f ca="1">IF(AUTOEVENTO="Manual",IF(OFFSET(EVENTOS!$F$14,PLE!$B36,0)&gt;0,"F",""),IF(PLE!B36&lt;=MAX(CÁLCULO!$M$15:$M$43),"F",""))</f>
        <v/>
      </c>
      <c r="B36" s="322">
        <f t="shared" ca="1" si="1"/>
        <v>22</v>
      </c>
      <c r="C36" s="742">
        <f ca="1">IF(AUTOEVENTO="Manual",IF($B36&lt;&gt;1,OFFSET(EVENTOS!$D$14,$B36,0),0),IF(B36&lt;=MAX(CÁLCULO!$M$15:$M$43),VLOOKUP($B36,CÁLCULO!$M$15:$N$43,2,FALSE),0))</f>
        <v>0</v>
      </c>
      <c r="D36" s="742"/>
      <c r="F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4"/>
      <c r="T36" s="324"/>
      <c r="U36" s="324"/>
      <c r="V36" s="324"/>
      <c r="W36" s="324"/>
      <c r="X36" s="324"/>
      <c r="Y36" s="324"/>
      <c r="Z36" s="324"/>
      <c r="AA36" s="324"/>
      <c r="AB36" s="324"/>
      <c r="AC36" s="324"/>
      <c r="AD36" s="324"/>
      <c r="AE36" s="324"/>
      <c r="AF36" s="324"/>
    </row>
    <row r="37" spans="1:32">
      <c r="A37" s="9" t="str">
        <f ca="1">IF(AUTOEVENTO="Manual",IF(OFFSET(EVENTOS!$F$14,PLE!$B37,0)&gt;0,"F",""),IF(PLE!B37&lt;=MAX(CÁLCULO!$M$15:$M$43),"F",""))</f>
        <v/>
      </c>
      <c r="B37" s="322">
        <f t="shared" ca="1" si="1"/>
        <v>23</v>
      </c>
      <c r="C37" s="742">
        <f ca="1">IF(AUTOEVENTO="Manual",IF($B37&lt;&gt;1,OFFSET(EVENTOS!$D$14,$B37,0),0),IF(B37&lt;=MAX(CÁLCULO!$M$15:$M$43),VLOOKUP($B37,CÁLCULO!$M$15:$N$43,2,FALSE),0))</f>
        <v>0</v>
      </c>
      <c r="D37" s="742"/>
      <c r="F37" s="324"/>
      <c r="H37" s="324"/>
      <c r="I37" s="324"/>
      <c r="J37" s="324"/>
      <c r="K37" s="324"/>
      <c r="L37" s="324"/>
      <c r="M37" s="324"/>
      <c r="N37" s="324"/>
      <c r="O37" s="324"/>
      <c r="P37" s="324"/>
      <c r="Q37" s="324"/>
      <c r="R37" s="324"/>
      <c r="S37" s="324"/>
      <c r="T37" s="324"/>
      <c r="U37" s="324"/>
      <c r="V37" s="324"/>
      <c r="W37" s="324"/>
      <c r="X37" s="324"/>
      <c r="Y37" s="324"/>
      <c r="Z37" s="324"/>
      <c r="AA37" s="324"/>
      <c r="AB37" s="324"/>
      <c r="AC37" s="324"/>
      <c r="AD37" s="324"/>
      <c r="AE37" s="324"/>
      <c r="AF37" s="324"/>
    </row>
    <row r="38" spans="1:32">
      <c r="A38" s="9" t="str">
        <f ca="1">IF(AUTOEVENTO="Manual",IF(OFFSET(EVENTOS!$F$14,PLE!$B38,0)&gt;0,"F",""),IF(PLE!B38&lt;=MAX(CÁLCULO!$M$15:$M$43),"F",""))</f>
        <v/>
      </c>
      <c r="B38" s="322">
        <f t="shared" ca="1" si="1"/>
        <v>24</v>
      </c>
      <c r="C38" s="742">
        <f ca="1">IF(AUTOEVENTO="Manual",IF($B38&lt;&gt;1,OFFSET(EVENTOS!$D$14,$B38,0),0),IF(B38&lt;=MAX(CÁLCULO!$M$15:$M$43),VLOOKUP($B38,CÁLCULO!$M$15:$N$43,2,FALSE),0))</f>
        <v>0</v>
      </c>
      <c r="D38" s="742"/>
      <c r="F38" s="324"/>
      <c r="H38" s="324"/>
      <c r="I38" s="324"/>
      <c r="J38" s="324"/>
      <c r="K38" s="324"/>
      <c r="L38" s="324"/>
      <c r="M38" s="324"/>
      <c r="N38" s="324"/>
      <c r="O38" s="324"/>
      <c r="P38" s="324"/>
      <c r="Q38" s="324"/>
      <c r="R38" s="324"/>
      <c r="S38" s="324"/>
      <c r="T38" s="324"/>
      <c r="U38" s="324"/>
      <c r="V38" s="324"/>
      <c r="W38" s="324"/>
      <c r="X38" s="324"/>
      <c r="Y38" s="324"/>
      <c r="Z38" s="324"/>
      <c r="AA38" s="324"/>
      <c r="AB38" s="324"/>
      <c r="AC38" s="324"/>
      <c r="AD38" s="324"/>
      <c r="AE38" s="324"/>
      <c r="AF38" s="324"/>
    </row>
    <row r="39" spans="1:32">
      <c r="A39" s="9" t="str">
        <f ca="1">IF(AUTOEVENTO="Manual",IF(OFFSET(EVENTOS!$F$14,PLE!$B39,0)&gt;0,"F",""),IF(PLE!B39&lt;=MAX(CÁLCULO!$M$15:$M$43),"F",""))</f>
        <v/>
      </c>
      <c r="B39" s="322">
        <f t="shared" ca="1" si="1"/>
        <v>25</v>
      </c>
      <c r="C39" s="742">
        <f ca="1">IF(AUTOEVENTO="Manual",IF($B39&lt;&gt;1,OFFSET(EVENTOS!$D$14,$B39,0),0),IF(B39&lt;=MAX(CÁLCULO!$M$15:$M$43),VLOOKUP($B39,CÁLCULO!$M$15:$N$43,2,FALSE),0))</f>
        <v>0</v>
      </c>
      <c r="D39" s="742"/>
      <c r="F39" s="324"/>
      <c r="H39" s="324"/>
      <c r="I39" s="324"/>
      <c r="J39" s="324"/>
      <c r="K39" s="324"/>
      <c r="L39" s="324"/>
      <c r="M39" s="324"/>
      <c r="N39" s="324"/>
      <c r="O39" s="324"/>
      <c r="P39" s="324"/>
      <c r="Q39" s="324"/>
      <c r="R39" s="324"/>
      <c r="S39" s="324"/>
      <c r="T39" s="324"/>
      <c r="U39" s="324"/>
      <c r="V39" s="324"/>
      <c r="W39" s="324"/>
      <c r="X39" s="324"/>
      <c r="Y39" s="324"/>
      <c r="Z39" s="324"/>
      <c r="AA39" s="324"/>
      <c r="AB39" s="324"/>
      <c r="AC39" s="324"/>
      <c r="AD39" s="324"/>
      <c r="AE39" s="324"/>
      <c r="AF39" s="324"/>
    </row>
    <row r="40" spans="1:32">
      <c r="A40" s="9" t="str">
        <f ca="1">IF(AUTOEVENTO="Manual",IF(OFFSET(EVENTOS!$F$14,PLE!$B40,0)&gt;0,"F",""),IF(PLE!B40&lt;=MAX(CÁLCULO!$M$15:$M$43),"F",""))</f>
        <v/>
      </c>
      <c r="B40" s="322">
        <f t="shared" ca="1" si="1"/>
        <v>26</v>
      </c>
      <c r="C40" s="742">
        <f ca="1">IF(AUTOEVENTO="Manual",IF($B40&lt;&gt;1,OFFSET(EVENTOS!$D$14,$B40,0),0),IF(B40&lt;=MAX(CÁLCULO!$M$15:$M$43),VLOOKUP($B40,CÁLCULO!$M$15:$N$43,2,FALSE),0))</f>
        <v>0</v>
      </c>
      <c r="D40" s="742"/>
      <c r="F40" s="324"/>
      <c r="H40" s="324"/>
      <c r="I40" s="324"/>
      <c r="J40" s="324"/>
      <c r="K40" s="324"/>
      <c r="L40" s="324"/>
      <c r="M40" s="324"/>
      <c r="N40" s="324"/>
      <c r="O40" s="324"/>
      <c r="P40" s="324"/>
      <c r="Q40" s="324"/>
      <c r="R40" s="324"/>
      <c r="S40" s="324"/>
      <c r="T40" s="324"/>
      <c r="U40" s="324"/>
      <c r="V40" s="324"/>
      <c r="W40" s="324"/>
      <c r="X40" s="324"/>
      <c r="Y40" s="324"/>
      <c r="Z40" s="324"/>
      <c r="AA40" s="324"/>
      <c r="AB40" s="324"/>
      <c r="AC40" s="324"/>
      <c r="AD40" s="324"/>
      <c r="AE40" s="324"/>
      <c r="AF40" s="324"/>
    </row>
    <row r="41" spans="1:32">
      <c r="A41" s="9" t="str">
        <f ca="1">IF(AUTOEVENTO="Manual",IF(OFFSET(EVENTOS!$F$14,PLE!$B41,0)&gt;0,"F",""),IF(PLE!B41&lt;=MAX(CÁLCULO!$M$15:$M$43),"F",""))</f>
        <v/>
      </c>
      <c r="B41" s="322">
        <f t="shared" ca="1" si="1"/>
        <v>27</v>
      </c>
      <c r="C41" s="742">
        <f ca="1">IF(AUTOEVENTO="Manual",IF($B41&lt;&gt;1,OFFSET(EVENTOS!$D$14,$B41,0),0),IF(B41&lt;=MAX(CÁLCULO!$M$15:$M$43),VLOOKUP($B41,CÁLCULO!$M$15:$N$43,2,FALSE),0))</f>
        <v>0</v>
      </c>
      <c r="D41" s="742"/>
      <c r="F41" s="324"/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4"/>
      <c r="T41" s="324"/>
      <c r="U41" s="324"/>
      <c r="V41" s="324"/>
      <c r="W41" s="324"/>
      <c r="X41" s="324"/>
      <c r="Y41" s="324"/>
      <c r="Z41" s="324"/>
      <c r="AA41" s="324"/>
      <c r="AB41" s="324"/>
      <c r="AC41" s="324"/>
      <c r="AD41" s="324"/>
      <c r="AE41" s="324"/>
      <c r="AF41" s="324"/>
    </row>
    <row r="42" spans="1:32">
      <c r="A42" s="9" t="str">
        <f ca="1">IF(AUTOEVENTO="Manual",IF(OFFSET(EVENTOS!$F$14,PLE!$B42,0)&gt;0,"F",""),IF(PLE!B42&lt;=MAX(CÁLCULO!$M$15:$M$43),"F",""))</f>
        <v/>
      </c>
      <c r="B42" s="322">
        <f t="shared" ca="1" si="1"/>
        <v>28</v>
      </c>
      <c r="C42" s="742">
        <f ca="1">IF(AUTOEVENTO="Manual",IF($B42&lt;&gt;1,OFFSET(EVENTOS!$D$14,$B42,0),0),IF(B42&lt;=MAX(CÁLCULO!$M$15:$M$43),VLOOKUP($B42,CÁLCULO!$M$15:$N$43,2,FALSE),0))</f>
        <v>0</v>
      </c>
      <c r="D42" s="742"/>
      <c r="F42" s="324"/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4"/>
      <c r="AE42" s="324"/>
      <c r="AF42" s="324"/>
    </row>
    <row r="43" spans="1:32">
      <c r="A43" s="9" t="str">
        <f ca="1">IF(AUTOEVENTO="Manual",IF(OFFSET(EVENTOS!$F$14,PLE!$B43,0)&gt;0,"F",""),IF(PLE!B43&lt;=MAX(CÁLCULO!$M$15:$M$43),"F",""))</f>
        <v/>
      </c>
      <c r="B43" s="322">
        <f t="shared" ca="1" si="1"/>
        <v>29</v>
      </c>
      <c r="C43" s="742">
        <f ca="1">IF(AUTOEVENTO="Manual",IF($B43&lt;&gt;1,OFFSET(EVENTOS!$D$14,$B43,0),0),IF(B43&lt;=MAX(CÁLCULO!$M$15:$M$43),VLOOKUP($B43,CÁLCULO!$M$15:$N$43,2,FALSE),0))</f>
        <v>0</v>
      </c>
      <c r="D43" s="742"/>
      <c r="F43" s="324"/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4"/>
      <c r="T43" s="324"/>
      <c r="U43" s="324"/>
      <c r="V43" s="324"/>
      <c r="W43" s="324"/>
      <c r="X43" s="324"/>
      <c r="Y43" s="324"/>
      <c r="Z43" s="324"/>
      <c r="AA43" s="324"/>
      <c r="AB43" s="324"/>
      <c r="AC43" s="324"/>
      <c r="AD43" s="324"/>
      <c r="AE43" s="324"/>
      <c r="AF43" s="324"/>
    </row>
    <row r="44" spans="1:32">
      <c r="A44" s="9" t="str">
        <f ca="1">IF(AUTOEVENTO="Manual",IF(OFFSET(EVENTOS!$F$14,PLE!$B44,0)&gt;0,"F",""),IF(PLE!B44&lt;=MAX(CÁLCULO!$M$15:$M$43),"F",""))</f>
        <v/>
      </c>
      <c r="B44" s="322">
        <f t="shared" ca="1" si="1"/>
        <v>30</v>
      </c>
      <c r="C44" s="742">
        <f ca="1">IF(AUTOEVENTO="Manual",IF($B44&lt;&gt;1,OFFSET(EVENTOS!$D$14,$B44,0),0),IF(B44&lt;=MAX(CÁLCULO!$M$15:$M$43),VLOOKUP($B44,CÁLCULO!$M$15:$N$43,2,FALSE),0))</f>
        <v>0</v>
      </c>
      <c r="D44" s="742"/>
      <c r="F44" s="324"/>
      <c r="H44" s="324"/>
      <c r="I44" s="324"/>
      <c r="J44" s="324"/>
      <c r="K44" s="324"/>
      <c r="L44" s="324"/>
      <c r="M44" s="324"/>
      <c r="N44" s="324"/>
      <c r="O44" s="324"/>
      <c r="P44" s="324"/>
      <c r="Q44" s="324"/>
      <c r="R44" s="324"/>
      <c r="S44" s="324"/>
      <c r="T44" s="324"/>
      <c r="U44" s="324"/>
      <c r="V44" s="324"/>
      <c r="W44" s="324"/>
      <c r="X44" s="324"/>
      <c r="Y44" s="324"/>
      <c r="Z44" s="324"/>
      <c r="AA44" s="324"/>
      <c r="AB44" s="324"/>
      <c r="AC44" s="324"/>
      <c r="AD44" s="324"/>
      <c r="AE44" s="324"/>
      <c r="AF44" s="324"/>
    </row>
    <row r="45" spans="1:32">
      <c r="A45" s="9" t="str">
        <f ca="1">IF(AUTOEVENTO="Manual",IF(OFFSET(EVENTOS!$F$14,PLE!$B45,0)&gt;0,"F",""),IF(PLE!B45&lt;=MAX(CÁLCULO!$M$15:$M$43),"F",""))</f>
        <v/>
      </c>
      <c r="B45" s="322">
        <f t="shared" ca="1" si="1"/>
        <v>31</v>
      </c>
      <c r="C45" s="742">
        <f ca="1">IF(AUTOEVENTO="Manual",IF($B45&lt;&gt;1,OFFSET(EVENTOS!$D$14,$B45,0),0),IF(B45&lt;=MAX(CÁLCULO!$M$15:$M$43),VLOOKUP($B45,CÁLCULO!$M$15:$N$43,2,FALSE),0))</f>
        <v>0</v>
      </c>
      <c r="D45" s="742"/>
      <c r="F45" s="324"/>
      <c r="H45" s="324"/>
      <c r="I45" s="324"/>
      <c r="J45" s="324"/>
      <c r="K45" s="324"/>
      <c r="L45" s="324"/>
      <c r="M45" s="324"/>
      <c r="N45" s="324"/>
      <c r="O45" s="324"/>
      <c r="P45" s="324"/>
      <c r="Q45" s="324"/>
      <c r="R45" s="324"/>
      <c r="S45" s="324"/>
      <c r="T45" s="324"/>
      <c r="U45" s="324"/>
      <c r="V45" s="324"/>
      <c r="W45" s="324"/>
      <c r="X45" s="324"/>
      <c r="Y45" s="324"/>
      <c r="Z45" s="324"/>
      <c r="AA45" s="324"/>
      <c r="AB45" s="324"/>
      <c r="AC45" s="324"/>
      <c r="AD45" s="324"/>
      <c r="AE45" s="324"/>
      <c r="AF45" s="324"/>
    </row>
    <row r="46" spans="1:32">
      <c r="A46" s="9" t="str">
        <f ca="1">IF(AUTOEVENTO="Manual",IF(OFFSET(EVENTOS!$F$14,PLE!$B46,0)&gt;0,"F",""),IF(PLE!B46&lt;=MAX(CÁLCULO!$M$15:$M$43),"F",""))</f>
        <v/>
      </c>
      <c r="B46" s="322">
        <f t="shared" ca="1" si="1"/>
        <v>32</v>
      </c>
      <c r="C46" s="742">
        <f ca="1">IF(AUTOEVENTO="Manual",IF($B46&lt;&gt;1,OFFSET(EVENTOS!$D$14,$B46,0),0),IF(B46&lt;=MAX(CÁLCULO!$M$15:$M$43),VLOOKUP($B46,CÁLCULO!$M$15:$N$43,2,FALSE),0))</f>
        <v>0</v>
      </c>
      <c r="D46" s="742"/>
      <c r="F46" s="324"/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4"/>
      <c r="T46" s="324"/>
      <c r="U46" s="324"/>
      <c r="V46" s="324"/>
      <c r="W46" s="324"/>
      <c r="X46" s="324"/>
      <c r="Y46" s="324"/>
      <c r="Z46" s="324"/>
      <c r="AA46" s="324"/>
      <c r="AB46" s="324"/>
      <c r="AC46" s="324"/>
      <c r="AD46" s="324"/>
      <c r="AE46" s="324"/>
      <c r="AF46" s="324"/>
    </row>
    <row r="47" spans="1:32">
      <c r="A47" s="9" t="str">
        <f ca="1">IF(AUTOEVENTO="Manual",IF(OFFSET(EVENTOS!$F$14,PLE!$B47,0)&gt;0,"F",""),IF(PLE!B47&lt;=MAX(CÁLCULO!$M$15:$M$43),"F",""))</f>
        <v/>
      </c>
      <c r="B47" s="322">
        <f t="shared" ca="1" si="1"/>
        <v>33</v>
      </c>
      <c r="C47" s="742">
        <f ca="1">IF(AUTOEVENTO="Manual",IF($B47&lt;&gt;1,OFFSET(EVENTOS!$D$14,$B47,0),0),IF(B47&lt;=MAX(CÁLCULO!$M$15:$M$43),VLOOKUP($B47,CÁLCULO!$M$15:$N$43,2,FALSE),0))</f>
        <v>0</v>
      </c>
      <c r="D47" s="742"/>
      <c r="F47" s="324"/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4"/>
      <c r="T47" s="324"/>
      <c r="U47" s="324"/>
      <c r="V47" s="324"/>
      <c r="W47" s="324"/>
      <c r="X47" s="324"/>
      <c r="Y47" s="324"/>
      <c r="Z47" s="324"/>
      <c r="AA47" s="324"/>
      <c r="AB47" s="324"/>
      <c r="AC47" s="324"/>
      <c r="AD47" s="324"/>
      <c r="AE47" s="324"/>
      <c r="AF47" s="324"/>
    </row>
    <row r="48" spans="1:32">
      <c r="A48" s="9" t="str">
        <f ca="1">IF(AUTOEVENTO="Manual",IF(OFFSET(EVENTOS!$F$14,PLE!$B48,0)&gt;0,"F",""),IF(PLE!B48&lt;=MAX(CÁLCULO!$M$15:$M$43),"F",""))</f>
        <v/>
      </c>
      <c r="B48" s="322">
        <f t="shared" ca="1" si="1"/>
        <v>34</v>
      </c>
      <c r="C48" s="742">
        <f ca="1">IF(AUTOEVENTO="Manual",IF($B48&lt;&gt;1,OFFSET(EVENTOS!$D$14,$B48,0),0),IF(B48&lt;=MAX(CÁLCULO!$M$15:$M$43),VLOOKUP($B48,CÁLCULO!$M$15:$N$43,2,FALSE),0))</f>
        <v>0</v>
      </c>
      <c r="D48" s="742"/>
      <c r="F48" s="324"/>
      <c r="H48" s="324"/>
      <c r="I48" s="324"/>
      <c r="J48" s="324"/>
      <c r="K48" s="324"/>
      <c r="L48" s="324"/>
      <c r="M48" s="324"/>
      <c r="N48" s="324"/>
      <c r="O48" s="324"/>
      <c r="P48" s="324"/>
      <c r="Q48" s="324"/>
      <c r="R48" s="324"/>
      <c r="S48" s="324"/>
      <c r="T48" s="324"/>
      <c r="U48" s="324"/>
      <c r="V48" s="324"/>
      <c r="W48" s="324"/>
      <c r="X48" s="324"/>
      <c r="Y48" s="324"/>
      <c r="Z48" s="324"/>
      <c r="AA48" s="324"/>
      <c r="AB48" s="324"/>
      <c r="AC48" s="324"/>
      <c r="AD48" s="324"/>
      <c r="AE48" s="324"/>
      <c r="AF48" s="324"/>
    </row>
    <row r="49" spans="1:32">
      <c r="A49" s="9" t="str">
        <f ca="1">IF(AUTOEVENTO="Manual",IF(OFFSET(EVENTOS!$F$14,PLE!$B49,0)&gt;0,"F",""),IF(PLE!B49&lt;=MAX(CÁLCULO!$M$15:$M$43),"F",""))</f>
        <v/>
      </c>
      <c r="B49" s="322">
        <f t="shared" ca="1" si="1"/>
        <v>35</v>
      </c>
      <c r="C49" s="742">
        <f ca="1">IF(AUTOEVENTO="Manual",IF($B49&lt;&gt;1,OFFSET(EVENTOS!$D$14,$B49,0),0),IF(B49&lt;=MAX(CÁLCULO!$M$15:$M$43),VLOOKUP($B49,CÁLCULO!$M$15:$N$43,2,FALSE),0))</f>
        <v>0</v>
      </c>
      <c r="D49" s="742"/>
      <c r="F49" s="324"/>
      <c r="H49" s="324"/>
      <c r="I49" s="324"/>
      <c r="J49" s="324"/>
      <c r="K49" s="324"/>
      <c r="L49" s="324"/>
      <c r="M49" s="324"/>
      <c r="N49" s="324"/>
      <c r="O49" s="324"/>
      <c r="P49" s="324"/>
      <c r="Q49" s="324"/>
      <c r="R49" s="324"/>
      <c r="S49" s="324"/>
      <c r="T49" s="324"/>
      <c r="U49" s="324"/>
      <c r="V49" s="324"/>
      <c r="W49" s="324"/>
      <c r="X49" s="324"/>
      <c r="Y49" s="324"/>
      <c r="Z49" s="324"/>
      <c r="AA49" s="324"/>
      <c r="AB49" s="324"/>
      <c r="AC49" s="324"/>
      <c r="AD49" s="324"/>
      <c r="AE49" s="324"/>
      <c r="AF49" s="324"/>
    </row>
    <row r="50" spans="1:32">
      <c r="A50" s="9" t="str">
        <f ca="1">IF(AUTOEVENTO="Manual",IF(OFFSET(EVENTOS!$F$14,PLE!$B50,0)&gt;0,"F",""),IF(PLE!B50&lt;=MAX(CÁLCULO!$M$15:$M$43),"F",""))</f>
        <v/>
      </c>
      <c r="B50" s="322">
        <f t="shared" ca="1" si="1"/>
        <v>36</v>
      </c>
      <c r="C50" s="742">
        <f ca="1">IF(AUTOEVENTO="Manual",IF($B50&lt;&gt;1,OFFSET(EVENTOS!$D$14,$B50,0),0),IF(B50&lt;=MAX(CÁLCULO!$M$15:$M$43),VLOOKUP($B50,CÁLCULO!$M$15:$N$43,2,FALSE),0))</f>
        <v>0</v>
      </c>
      <c r="D50" s="742"/>
      <c r="F50" s="324"/>
      <c r="H50" s="324"/>
      <c r="I50" s="324"/>
      <c r="J50" s="324"/>
      <c r="K50" s="324"/>
      <c r="L50" s="324"/>
      <c r="M50" s="324"/>
      <c r="N50" s="324"/>
      <c r="O50" s="324"/>
      <c r="P50" s="324"/>
      <c r="Q50" s="324"/>
      <c r="R50" s="324"/>
      <c r="S50" s="324"/>
      <c r="T50" s="324"/>
      <c r="U50" s="324"/>
      <c r="V50" s="324"/>
      <c r="W50" s="324"/>
      <c r="X50" s="324"/>
      <c r="Y50" s="324"/>
      <c r="Z50" s="324"/>
      <c r="AA50" s="324"/>
      <c r="AB50" s="324"/>
      <c r="AC50" s="324"/>
      <c r="AD50" s="324"/>
      <c r="AE50" s="324"/>
      <c r="AF50" s="324"/>
    </row>
    <row r="51" spans="1:32">
      <c r="A51" s="9" t="str">
        <f ca="1">IF(AUTOEVENTO="Manual",IF(OFFSET(EVENTOS!$F$14,PLE!$B51,0)&gt;0,"F",""),IF(PLE!B51&lt;=MAX(CÁLCULO!$M$15:$M$43),"F",""))</f>
        <v/>
      </c>
      <c r="B51" s="322">
        <f t="shared" ca="1" si="1"/>
        <v>37</v>
      </c>
      <c r="C51" s="742">
        <f ca="1">IF(AUTOEVENTO="Manual",IF($B51&lt;&gt;1,OFFSET(EVENTOS!$D$14,$B51,0),0),IF(B51&lt;=MAX(CÁLCULO!$M$15:$M$43),VLOOKUP($B51,CÁLCULO!$M$15:$N$43,2,FALSE),0))</f>
        <v>0</v>
      </c>
      <c r="D51" s="742"/>
      <c r="F51" s="324"/>
      <c r="H51" s="324"/>
      <c r="I51" s="324"/>
      <c r="J51" s="324"/>
      <c r="K51" s="324"/>
      <c r="L51" s="324"/>
      <c r="M51" s="324"/>
      <c r="N51" s="324"/>
      <c r="O51" s="324"/>
      <c r="P51" s="324"/>
      <c r="Q51" s="324"/>
      <c r="R51" s="324"/>
      <c r="S51" s="324"/>
      <c r="T51" s="324"/>
      <c r="U51" s="324"/>
      <c r="V51" s="324"/>
      <c r="W51" s="324"/>
      <c r="X51" s="324"/>
      <c r="Y51" s="324"/>
      <c r="Z51" s="324"/>
      <c r="AA51" s="324"/>
      <c r="AB51" s="324"/>
      <c r="AC51" s="324"/>
      <c r="AD51" s="324"/>
      <c r="AE51" s="324"/>
      <c r="AF51" s="324"/>
    </row>
    <row r="52" spans="1:32">
      <c r="A52" s="9" t="str">
        <f ca="1">IF(AUTOEVENTO="Manual",IF(OFFSET(EVENTOS!$F$14,PLE!$B52,0)&gt;0,"F",""),IF(PLE!B52&lt;=MAX(CÁLCULO!$M$15:$M$43),"F",""))</f>
        <v/>
      </c>
      <c r="B52" s="322">
        <f t="shared" ca="1" si="1"/>
        <v>38</v>
      </c>
      <c r="C52" s="742">
        <f ca="1">IF(AUTOEVENTO="Manual",IF($B52&lt;&gt;1,OFFSET(EVENTOS!$D$14,$B52,0),0),IF(B52&lt;=MAX(CÁLCULO!$M$15:$M$43),VLOOKUP($B52,CÁLCULO!$M$15:$N$43,2,FALSE),0))</f>
        <v>0</v>
      </c>
      <c r="D52" s="742"/>
      <c r="F52" s="324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4"/>
      <c r="AE52" s="324"/>
      <c r="AF52" s="324"/>
    </row>
    <row r="53" spans="1:32">
      <c r="A53" s="9" t="str">
        <f ca="1">IF(AUTOEVENTO="Manual",IF(OFFSET(EVENTOS!$F$14,PLE!$B53,0)&gt;0,"F",""),IF(PLE!B53&lt;=MAX(CÁLCULO!$M$15:$M$43),"F",""))</f>
        <v/>
      </c>
      <c r="B53" s="322">
        <f t="shared" ca="1" si="1"/>
        <v>39</v>
      </c>
      <c r="C53" s="742">
        <f ca="1">IF(AUTOEVENTO="Manual",IF($B53&lt;&gt;1,OFFSET(EVENTOS!$D$14,$B53,0),0),IF(B53&lt;=MAX(CÁLCULO!$M$15:$M$43),VLOOKUP($B53,CÁLCULO!$M$15:$N$43,2,FALSE),0))</f>
        <v>0</v>
      </c>
      <c r="D53" s="742"/>
      <c r="F53" s="324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4"/>
      <c r="AE53" s="324"/>
      <c r="AF53" s="324"/>
    </row>
    <row r="54" spans="1:32">
      <c r="A54" s="9" t="str">
        <f ca="1">IF(AUTOEVENTO="Manual",IF(OFFSET(EVENTOS!$F$14,PLE!$B54,0)&gt;0,"F",""),IF(PLE!B54&lt;=MAX(CÁLCULO!$M$15:$M$43),"F",""))</f>
        <v/>
      </c>
      <c r="B54" s="322">
        <f t="shared" ca="1" si="1"/>
        <v>40</v>
      </c>
      <c r="C54" s="742">
        <f ca="1">IF(AUTOEVENTO="Manual",IF($B54&lt;&gt;1,OFFSET(EVENTOS!$D$14,$B54,0),0),IF(B54&lt;=MAX(CÁLCULO!$M$15:$M$43),VLOOKUP($B54,CÁLCULO!$M$15:$N$43,2,FALSE),0))</f>
        <v>0</v>
      </c>
      <c r="D54" s="742"/>
      <c r="F54" s="324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4"/>
      <c r="AE54" s="324"/>
      <c r="AF54" s="324"/>
    </row>
    <row r="55" spans="1:32">
      <c r="A55" s="9" t="str">
        <f ca="1">IF(AUTOEVENTO="Manual",IF(OFFSET(EVENTOS!$F$14,PLE!$B55,0)&gt;0,"F",""),IF(PLE!B55&lt;=MAX(CÁLCULO!$M$15:$M$43),"F",""))</f>
        <v/>
      </c>
      <c r="B55" s="322">
        <f t="shared" ca="1" si="1"/>
        <v>41</v>
      </c>
      <c r="C55" s="742">
        <f ca="1">IF(AUTOEVENTO="Manual",IF($B55&lt;&gt;1,OFFSET(EVENTOS!$D$14,$B55,0),0),IF(B55&lt;=MAX(CÁLCULO!$M$15:$M$43),VLOOKUP($B55,CÁLCULO!$M$15:$N$43,2,FALSE),0))</f>
        <v>0</v>
      </c>
      <c r="D55" s="742"/>
      <c r="F55" s="324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4"/>
      <c r="AE55" s="324"/>
      <c r="AF55" s="324"/>
    </row>
    <row r="56" spans="1:32">
      <c r="A56" s="9" t="str">
        <f ca="1">IF(AUTOEVENTO="Manual",IF(OFFSET(EVENTOS!$F$14,PLE!$B56,0)&gt;0,"F",""),IF(PLE!B56&lt;=MAX(CÁLCULO!$M$15:$M$43),"F",""))</f>
        <v/>
      </c>
      <c r="B56" s="322">
        <f t="shared" ca="1" si="1"/>
        <v>42</v>
      </c>
      <c r="C56" s="742">
        <f ca="1">IF(AUTOEVENTO="Manual",IF($B56&lt;&gt;1,OFFSET(EVENTOS!$D$14,$B56,0),0),IF(B56&lt;=MAX(CÁLCULO!$M$15:$M$43),VLOOKUP($B56,CÁLCULO!$M$15:$N$43,2,FALSE),0))</f>
        <v>0</v>
      </c>
      <c r="D56" s="742"/>
      <c r="F56" s="324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4"/>
      <c r="AE56" s="324"/>
      <c r="AF56" s="324"/>
    </row>
    <row r="57" spans="1:32">
      <c r="A57" s="9" t="str">
        <f ca="1">IF(AUTOEVENTO="Manual",IF(OFFSET(EVENTOS!$F$14,PLE!$B57,0)&gt;0,"F",""),IF(PLE!B57&lt;=MAX(CÁLCULO!$M$15:$M$43),"F",""))</f>
        <v/>
      </c>
      <c r="B57" s="322">
        <f t="shared" ca="1" si="1"/>
        <v>43</v>
      </c>
      <c r="C57" s="742">
        <f ca="1">IF(AUTOEVENTO="Manual",IF($B57&lt;&gt;1,OFFSET(EVENTOS!$D$14,$B57,0),0),IF(B57&lt;=MAX(CÁLCULO!$M$15:$M$43),VLOOKUP($B57,CÁLCULO!$M$15:$N$43,2,FALSE),0))</f>
        <v>0</v>
      </c>
      <c r="D57" s="742"/>
      <c r="F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4"/>
      <c r="AE57" s="324"/>
      <c r="AF57" s="324"/>
    </row>
    <row r="58" spans="1:32">
      <c r="A58" s="9" t="str">
        <f ca="1">IF(AUTOEVENTO="Manual",IF(OFFSET(EVENTOS!$F$14,PLE!$B58,0)&gt;0,"F",""),IF(PLE!B58&lt;=MAX(CÁLCULO!$M$15:$M$43),"F",""))</f>
        <v/>
      </c>
      <c r="B58" s="322">
        <f t="shared" ca="1" si="1"/>
        <v>44</v>
      </c>
      <c r="C58" s="742">
        <f ca="1">IF(AUTOEVENTO="Manual",IF($B58&lt;&gt;1,OFFSET(EVENTOS!$D$14,$B58,0),0),IF(B58&lt;=MAX(CÁLCULO!$M$15:$M$43),VLOOKUP($B58,CÁLCULO!$M$15:$N$43,2,FALSE),0))</f>
        <v>0</v>
      </c>
      <c r="D58" s="742"/>
      <c r="F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4"/>
      <c r="AE58" s="324"/>
      <c r="AF58" s="324"/>
    </row>
    <row r="59" spans="1:32">
      <c r="A59" s="9" t="str">
        <f ca="1">IF(AUTOEVENTO="Manual",IF(OFFSET(EVENTOS!$F$14,PLE!$B59,0)&gt;0,"F",""),IF(PLE!B59&lt;=MAX(CÁLCULO!$M$15:$M$43),"F",""))</f>
        <v/>
      </c>
      <c r="B59" s="322">
        <f t="shared" ca="1" si="1"/>
        <v>45</v>
      </c>
      <c r="C59" s="742">
        <f ca="1">IF(AUTOEVENTO="Manual",IF($B59&lt;&gt;1,OFFSET(EVENTOS!$D$14,$B59,0),0),IF(B59&lt;=MAX(CÁLCULO!$M$15:$M$43),VLOOKUP($B59,CÁLCULO!$M$15:$N$43,2,FALSE),0))</f>
        <v>0</v>
      </c>
      <c r="D59" s="742"/>
      <c r="F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4"/>
      <c r="AE59" s="324"/>
      <c r="AF59" s="324"/>
    </row>
    <row r="60" spans="1:32">
      <c r="A60" s="9" t="str">
        <f ca="1">IF(AUTOEVENTO="Manual",IF(OFFSET(EVENTOS!$F$14,PLE!$B60,0)&gt;0,"F",""),IF(PLE!B60&lt;=MAX(CÁLCULO!$M$15:$M$43),"F",""))</f>
        <v/>
      </c>
      <c r="B60" s="322">
        <f t="shared" ca="1" si="1"/>
        <v>46</v>
      </c>
      <c r="C60" s="742">
        <f ca="1">IF(AUTOEVENTO="Manual",IF($B60&lt;&gt;1,OFFSET(EVENTOS!$D$14,$B60,0),0),IF(B60&lt;=MAX(CÁLCULO!$M$15:$M$43),VLOOKUP($B60,CÁLCULO!$M$15:$N$43,2,FALSE),0))</f>
        <v>0</v>
      </c>
      <c r="D60" s="742"/>
      <c r="F60" s="324"/>
      <c r="H60" s="324"/>
      <c r="I60" s="324"/>
      <c r="J60" s="324"/>
      <c r="K60" s="324"/>
      <c r="L60" s="324"/>
      <c r="M60" s="324"/>
      <c r="N60" s="324"/>
      <c r="O60" s="324"/>
      <c r="P60" s="324"/>
      <c r="Q60" s="324"/>
      <c r="R60" s="324"/>
      <c r="S60" s="324"/>
      <c r="T60" s="324"/>
      <c r="U60" s="324"/>
      <c r="V60" s="324"/>
      <c r="W60" s="324"/>
      <c r="X60" s="324"/>
      <c r="Y60" s="324"/>
      <c r="Z60" s="324"/>
      <c r="AA60" s="324"/>
      <c r="AB60" s="324"/>
      <c r="AC60" s="324"/>
      <c r="AD60" s="324"/>
      <c r="AE60" s="324"/>
      <c r="AF60" s="324"/>
    </row>
    <row r="61" spans="1:32">
      <c r="A61" s="9" t="str">
        <f ca="1">IF(AUTOEVENTO="Manual",IF(OFFSET(EVENTOS!$F$14,PLE!$B61,0)&gt;0,"F",""),IF(PLE!B61&lt;=MAX(CÁLCULO!$M$15:$M$43),"F",""))</f>
        <v/>
      </c>
      <c r="B61" s="322">
        <f t="shared" ca="1" si="1"/>
        <v>47</v>
      </c>
      <c r="C61" s="742">
        <f ca="1">IF(AUTOEVENTO="Manual",IF($B61&lt;&gt;1,OFFSET(EVENTOS!$D$14,$B61,0),0),IF(B61&lt;=MAX(CÁLCULO!$M$15:$M$43),VLOOKUP($B61,CÁLCULO!$M$15:$N$43,2,FALSE),0))</f>
        <v>0</v>
      </c>
      <c r="D61" s="742"/>
      <c r="F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4"/>
      <c r="AE61" s="324"/>
      <c r="AF61" s="324"/>
    </row>
    <row r="62" spans="1:32">
      <c r="A62" s="9" t="str">
        <f ca="1">IF(AUTOEVENTO="Manual",IF(OFFSET(EVENTOS!$F$14,PLE!$B62,0)&gt;0,"F",""),IF(PLE!B62&lt;=MAX(CÁLCULO!$M$15:$M$43),"F",""))</f>
        <v/>
      </c>
      <c r="B62" s="322">
        <f t="shared" ca="1" si="1"/>
        <v>48</v>
      </c>
      <c r="C62" s="742">
        <f ca="1">IF(AUTOEVENTO="Manual",IF($B62&lt;&gt;1,OFFSET(EVENTOS!$D$14,$B62,0),0),IF(B62&lt;=MAX(CÁLCULO!$M$15:$M$43),VLOOKUP($B62,CÁLCULO!$M$15:$N$43,2,FALSE),0))</f>
        <v>0</v>
      </c>
      <c r="D62" s="742"/>
      <c r="F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4"/>
      <c r="AE62" s="324"/>
      <c r="AF62" s="324"/>
    </row>
    <row r="63" spans="1:32">
      <c r="A63" s="9" t="str">
        <f ca="1">IF(AUTOEVENTO="Manual",IF(OFFSET(EVENTOS!$F$14,PLE!$B63,0)&gt;0,"F",""),IF(PLE!B63&lt;=MAX(CÁLCULO!$M$15:$M$43),"F",""))</f>
        <v/>
      </c>
      <c r="B63" s="322">
        <f t="shared" ca="1" si="1"/>
        <v>49</v>
      </c>
      <c r="C63" s="742">
        <f ca="1">IF(AUTOEVENTO="Manual",IF($B63&lt;&gt;1,OFFSET(EVENTOS!$D$14,$B63,0),0),IF(B63&lt;=MAX(CÁLCULO!$M$15:$M$43),VLOOKUP($B63,CÁLCULO!$M$15:$N$43,2,FALSE),0))</f>
        <v>0</v>
      </c>
      <c r="D63" s="742"/>
      <c r="F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4"/>
      <c r="AE63" s="324"/>
      <c r="AF63" s="324"/>
    </row>
    <row r="64" spans="1:32">
      <c r="A64" s="9" t="str">
        <f ca="1">IF(AUTOEVENTO="Manual",IF(OFFSET(EVENTOS!$F$14,PLE!$B64,0)&gt;0,"F",""),IF(PLE!B64&lt;=MAX(CÁLCULO!$M$15:$M$43),"F",""))</f>
        <v/>
      </c>
      <c r="B64" s="322">
        <f t="shared" ca="1" si="1"/>
        <v>50</v>
      </c>
      <c r="C64" s="742">
        <f ca="1">IF(AUTOEVENTO="Manual",IF($B64&lt;&gt;1,OFFSET(EVENTOS!$D$14,$B64,0),0),IF(B64&lt;=MAX(CÁLCULO!$M$15:$M$43),VLOOKUP($B64,CÁLCULO!$M$15:$N$43,2,FALSE),0))</f>
        <v>0</v>
      </c>
      <c r="D64" s="742"/>
      <c r="F64" s="324"/>
      <c r="H64" s="324"/>
      <c r="I64" s="324"/>
      <c r="J64" s="324"/>
      <c r="K64" s="324"/>
      <c r="L64" s="324"/>
      <c r="M64" s="324"/>
      <c r="N64" s="324"/>
      <c r="O64" s="324"/>
      <c r="P64" s="324"/>
      <c r="Q64" s="324"/>
      <c r="R64" s="324"/>
      <c r="S64" s="324"/>
      <c r="T64" s="324"/>
      <c r="U64" s="324"/>
      <c r="V64" s="324"/>
      <c r="W64" s="324"/>
      <c r="X64" s="324"/>
      <c r="Y64" s="324"/>
      <c r="Z64" s="324"/>
      <c r="AA64" s="324"/>
      <c r="AB64" s="324"/>
      <c r="AC64" s="324"/>
      <c r="AD64" s="324"/>
      <c r="AE64" s="324"/>
      <c r="AF64" s="324"/>
    </row>
    <row r="65" spans="1:32" ht="4.5" customHeight="1">
      <c r="A65" s="9" t="s">
        <v>246</v>
      </c>
      <c r="B65" s="558"/>
      <c r="C65" s="589"/>
      <c r="D65" s="590"/>
      <c r="F65" s="345"/>
      <c r="H65" s="558"/>
      <c r="I65" s="589"/>
      <c r="J65" s="589"/>
      <c r="K65" s="589"/>
      <c r="L65" s="589"/>
      <c r="M65" s="589"/>
      <c r="N65" s="589"/>
      <c r="O65" s="589"/>
      <c r="P65" s="589"/>
      <c r="Q65" s="589"/>
      <c r="R65" s="589"/>
      <c r="S65" s="589"/>
      <c r="T65" s="589"/>
      <c r="U65" s="589"/>
      <c r="V65" s="589"/>
      <c r="W65" s="589"/>
      <c r="X65" s="589"/>
      <c r="Y65" s="589"/>
      <c r="Z65" s="589"/>
      <c r="AA65" s="589"/>
      <c r="AB65" s="589"/>
      <c r="AC65" s="589"/>
      <c r="AD65" s="589"/>
      <c r="AE65" s="589"/>
      <c r="AF65" s="590"/>
    </row>
    <row r="66" spans="1:32">
      <c r="A66" s="9" t="s">
        <v>246</v>
      </c>
    </row>
    <row r="67" spans="1:32">
      <c r="A67" s="9" t="s">
        <v>246</v>
      </c>
      <c r="I67" s="749" t="s">
        <v>298</v>
      </c>
      <c r="J67" s="749"/>
      <c r="K67" s="749"/>
      <c r="L67" s="749"/>
      <c r="M67" s="749"/>
      <c r="N67" s="749"/>
      <c r="O67" s="749"/>
      <c r="P67" s="749"/>
      <c r="Q67" s="749"/>
      <c r="R67" s="749"/>
      <c r="S67" s="749"/>
      <c r="T67" s="749"/>
      <c r="U67" s="749"/>
      <c r="V67" s="749"/>
      <c r="W67" s="749"/>
      <c r="X67" s="749"/>
      <c r="Y67" s="749"/>
      <c r="Z67" s="749"/>
      <c r="AA67" s="749"/>
      <c r="AB67" s="749"/>
      <c r="AC67" s="749"/>
      <c r="AD67" s="749"/>
      <c r="AE67" s="749"/>
      <c r="AF67" s="749"/>
    </row>
    <row r="68" spans="1:32">
      <c r="A68" s="9" t="s">
        <v>246</v>
      </c>
      <c r="H68" s="615"/>
      <c r="I68" s="764"/>
      <c r="J68" s="750"/>
      <c r="K68" s="750"/>
      <c r="L68" s="750"/>
      <c r="M68" s="750"/>
      <c r="N68" s="750"/>
      <c r="O68" s="750"/>
      <c r="P68" s="750"/>
      <c r="Q68" s="750"/>
      <c r="R68" s="750"/>
      <c r="S68" s="750"/>
      <c r="T68" s="750"/>
      <c r="U68" s="750"/>
      <c r="V68" s="750"/>
      <c r="W68" s="750"/>
      <c r="X68" s="750"/>
      <c r="Y68" s="750"/>
      <c r="Z68" s="750"/>
      <c r="AA68" s="750"/>
      <c r="AB68" s="750"/>
      <c r="AC68" s="750"/>
      <c r="AD68" s="750"/>
      <c r="AE68" s="750"/>
      <c r="AF68" s="755"/>
    </row>
    <row r="69" spans="1:32">
      <c r="A69" s="9" t="s">
        <v>246</v>
      </c>
      <c r="D69" s="346" t="s">
        <v>299</v>
      </c>
      <c r="I69" s="754">
        <f>IF(PLE.Medicao&lt;=12,1,TRUNC((PLE.Medicao - 2)/11,0) * 11 + 1)</f>
        <v>1</v>
      </c>
      <c r="J69" s="754"/>
      <c r="K69" s="754">
        <f>I69+1</f>
        <v>2</v>
      </c>
      <c r="L69" s="754"/>
      <c r="M69" s="754">
        <f>K69+1</f>
        <v>3</v>
      </c>
      <c r="N69" s="754"/>
      <c r="O69" s="754">
        <f>M69+1</f>
        <v>4</v>
      </c>
      <c r="P69" s="754"/>
      <c r="Q69" s="754">
        <f>O69+1</f>
        <v>5</v>
      </c>
      <c r="R69" s="754"/>
      <c r="S69" s="754">
        <f>Q69+1</f>
        <v>6</v>
      </c>
      <c r="T69" s="754"/>
      <c r="U69" s="754">
        <f>S69+1</f>
        <v>7</v>
      </c>
      <c r="V69" s="754"/>
      <c r="W69" s="754">
        <f>U69+1</f>
        <v>8</v>
      </c>
      <c r="X69" s="754"/>
      <c r="Y69" s="754">
        <f>W69+1</f>
        <v>9</v>
      </c>
      <c r="Z69" s="754"/>
      <c r="AA69" s="754">
        <f>Y69+1</f>
        <v>10</v>
      </c>
      <c r="AB69" s="754"/>
      <c r="AC69" s="754">
        <f>AA69+1</f>
        <v>11</v>
      </c>
      <c r="AD69" s="754"/>
      <c r="AE69" s="754">
        <f>AC69+1</f>
        <v>12</v>
      </c>
      <c r="AF69" s="754"/>
    </row>
    <row r="70" spans="1:32">
      <c r="A70" s="9" t="s">
        <v>246</v>
      </c>
      <c r="D70" s="759" t="s">
        <v>283</v>
      </c>
      <c r="H70" s="347" t="s">
        <v>300</v>
      </c>
      <c r="I70" s="763">
        <f ca="1">ROUND(I71,2)/ORÇAMENTO!$X$15</f>
        <v>0</v>
      </c>
      <c r="J70" s="763"/>
      <c r="K70" s="753">
        <f ca="1">ROUND(K71,2)/ORÇAMENTO!$X$15</f>
        <v>0</v>
      </c>
      <c r="L70" s="753"/>
      <c r="M70" s="752">
        <f ca="1">ROUND(M71,2)/ORÇAMENTO!$X$15</f>
        <v>0</v>
      </c>
      <c r="N70" s="752"/>
      <c r="O70" s="753">
        <f ca="1">ROUND(O71,2)/ORÇAMENTO!$X$15</f>
        <v>0</v>
      </c>
      <c r="P70" s="753"/>
      <c r="Q70" s="752">
        <f ca="1">ROUND(Q71,2)/ORÇAMENTO!$X$15</f>
        <v>0</v>
      </c>
      <c r="R70" s="752"/>
      <c r="S70" s="753">
        <f ca="1">ROUND(S71,2)/ORÇAMENTO!$X$15</f>
        <v>0</v>
      </c>
      <c r="T70" s="753"/>
      <c r="U70" s="752">
        <f ca="1">ROUND(U71,2)/ORÇAMENTO!$X$15</f>
        <v>0</v>
      </c>
      <c r="V70" s="752"/>
      <c r="W70" s="753">
        <f ca="1">ROUND(W71,2)/ORÇAMENTO!$X$15</f>
        <v>0</v>
      </c>
      <c r="X70" s="753"/>
      <c r="Y70" s="752">
        <f ca="1">ROUND(Y71,2)/ORÇAMENTO!$X$15</f>
        <v>0</v>
      </c>
      <c r="Z70" s="752"/>
      <c r="AA70" s="753">
        <f ca="1">ROUND(AA71,2)/ORÇAMENTO!$X$15</f>
        <v>0</v>
      </c>
      <c r="AB70" s="753"/>
      <c r="AC70" s="752">
        <f ca="1">ROUND(AC71,2)/ORÇAMENTO!$X$15</f>
        <v>0</v>
      </c>
      <c r="AD70" s="752"/>
      <c r="AE70" s="753">
        <f ca="1">ROUND(AE71,2)/ORÇAMENTO!$X$15</f>
        <v>0</v>
      </c>
      <c r="AF70" s="753"/>
    </row>
    <row r="71" spans="1:32">
      <c r="A71" s="9" t="s">
        <v>246</v>
      </c>
      <c r="D71" s="759"/>
      <c r="H71" s="348" t="s">
        <v>301</v>
      </c>
      <c r="I71" s="756">
        <f ca="1">IF(I69=1,I73,ROUND(I73,2)-ROUND(SUMIF(CÁLCULO!$AX$15:$BH$43,"&lt;="&amp;PLE!I69-1,CÁLCULO!$AB$15:$AL$43)*(1+CÁLCULO.TotalAdmLocal/(ORÇAMENTO!$X$15-CÁLCULO.TotalAdmLocal)),2))</f>
        <v>0</v>
      </c>
      <c r="J71" s="756"/>
      <c r="K71" s="756">
        <f ca="1">ROUND(K73,2)-ROUND(I73,2)</f>
        <v>0</v>
      </c>
      <c r="L71" s="756"/>
      <c r="M71" s="761">
        <f ca="1">ROUND(M73,2)-ROUND(K73,2)</f>
        <v>0</v>
      </c>
      <c r="N71" s="761"/>
      <c r="O71" s="756">
        <f ca="1">ROUND(O73,2)-ROUND(M73,2)</f>
        <v>0</v>
      </c>
      <c r="P71" s="756"/>
      <c r="Q71" s="761">
        <f ca="1">ROUND(Q73,2)-ROUND(O73,2)</f>
        <v>0</v>
      </c>
      <c r="R71" s="761"/>
      <c r="S71" s="756">
        <f ca="1">ROUND(S73,2)-ROUND(Q73,2)</f>
        <v>0</v>
      </c>
      <c r="T71" s="756"/>
      <c r="U71" s="761">
        <f ca="1">ROUND(U73,2)-ROUND(S73,2)</f>
        <v>0</v>
      </c>
      <c r="V71" s="761"/>
      <c r="W71" s="756">
        <f ca="1">ROUND(W73,2)-ROUND(U73,2)</f>
        <v>0</v>
      </c>
      <c r="X71" s="756"/>
      <c r="Y71" s="761">
        <f ca="1">ROUND(Y73,2)-ROUND(W73,2)</f>
        <v>0</v>
      </c>
      <c r="Z71" s="761"/>
      <c r="AA71" s="756">
        <f ca="1">ROUND(AA73,2)-ROUND(Y73,2)</f>
        <v>0</v>
      </c>
      <c r="AB71" s="756"/>
      <c r="AC71" s="761">
        <f ca="1">ROUND(AC73,2)-ROUND(AA73,2)</f>
        <v>0</v>
      </c>
      <c r="AD71" s="761"/>
      <c r="AE71" s="756">
        <f ca="1">ROUND(AE73,2)-ROUND(AC73,2)</f>
        <v>0</v>
      </c>
      <c r="AF71" s="756"/>
    </row>
    <row r="72" spans="1:32">
      <c r="A72" s="9" t="s">
        <v>246</v>
      </c>
      <c r="D72" s="759" t="s">
        <v>287</v>
      </c>
      <c r="H72" s="347" t="s">
        <v>300</v>
      </c>
      <c r="I72" s="758">
        <f ca="1">ROUND(I73,2)/ORÇAMENTO!$X$15</f>
        <v>0</v>
      </c>
      <c r="J72" s="758"/>
      <c r="K72" s="757">
        <f ca="1">ROUND(K73,2)/ORÇAMENTO!$X$15</f>
        <v>0</v>
      </c>
      <c r="L72" s="757"/>
      <c r="M72" s="760">
        <f ca="1">ROUND(M73,2)/ORÇAMENTO!$X$15</f>
        <v>0</v>
      </c>
      <c r="N72" s="760"/>
      <c r="O72" s="757">
        <f ca="1">ROUND(O73,2)/ORÇAMENTO!$X$15</f>
        <v>0</v>
      </c>
      <c r="P72" s="757"/>
      <c r="Q72" s="760">
        <f ca="1">ROUND(Q73,2)/ORÇAMENTO!$X$15</f>
        <v>0</v>
      </c>
      <c r="R72" s="760"/>
      <c r="S72" s="757">
        <f ca="1">ROUND(S73,2)/ORÇAMENTO!$X$15</f>
        <v>0</v>
      </c>
      <c r="T72" s="757"/>
      <c r="U72" s="760">
        <f ca="1">ROUND(U73,2)/ORÇAMENTO!$X$15</f>
        <v>0</v>
      </c>
      <c r="V72" s="760"/>
      <c r="W72" s="757">
        <f ca="1">ROUND(W73,2)/ORÇAMENTO!$X$15</f>
        <v>0</v>
      </c>
      <c r="X72" s="757"/>
      <c r="Y72" s="760">
        <f ca="1">ROUND(Y73,2)/ORÇAMENTO!$X$15</f>
        <v>0</v>
      </c>
      <c r="Z72" s="760"/>
      <c r="AA72" s="757">
        <f ca="1">ROUND(AA73,2)/ORÇAMENTO!$X$15</f>
        <v>0</v>
      </c>
      <c r="AB72" s="757"/>
      <c r="AC72" s="760">
        <f ca="1">ROUND(AC73,2)/ORÇAMENTO!$X$15</f>
        <v>0</v>
      </c>
      <c r="AD72" s="760"/>
      <c r="AE72" s="757">
        <f ca="1">ROUND(AE73,2)/ORÇAMENTO!$X$15</f>
        <v>0</v>
      </c>
      <c r="AF72" s="757"/>
    </row>
    <row r="73" spans="1:32">
      <c r="A73" s="9" t="s">
        <v>246</v>
      </c>
      <c r="D73" s="759"/>
      <c r="H73" s="348" t="s">
        <v>301</v>
      </c>
      <c r="I73" s="762">
        <f ca="1">SUMIF(CÁLCULO!$AX$15:$BH$43,"&lt;="&amp;PLE!I69,CÁLCULO!$AB$15:$AL$43)*(1+CÁLCULO.TotalAdmLocal/(ORÇAMENTO!$X$15-CÁLCULO.TotalAdmLocal))</f>
        <v>0</v>
      </c>
      <c r="J73" s="762"/>
      <c r="K73" s="756">
        <f ca="1">SUMIF(CÁLCULO!$AX$15:$BH$43,"&lt;="&amp;PLE!K69,CÁLCULO!$AB$15:$AL$43)*(1+CÁLCULO.TotalAdmLocal/(ORÇAMENTO!$X$15-CÁLCULO.TotalAdmLocal))</f>
        <v>0</v>
      </c>
      <c r="L73" s="756"/>
      <c r="M73" s="761">
        <f ca="1">SUMIF(CÁLCULO!$AX$15:$BH$43,"&lt;="&amp;PLE!M69,CÁLCULO!$AB$15:$AL$43)*(1+CÁLCULO.TotalAdmLocal/(ORÇAMENTO!$X$15-CÁLCULO.TotalAdmLocal))</f>
        <v>0</v>
      </c>
      <c r="N73" s="761"/>
      <c r="O73" s="756">
        <f ca="1">SUMIF(CÁLCULO!$AX$15:$BH$43,"&lt;="&amp;PLE!O69,CÁLCULO!$AB$15:$AL$43)*(1+CÁLCULO.TotalAdmLocal/(ORÇAMENTO!$X$15-CÁLCULO.TotalAdmLocal))</f>
        <v>0</v>
      </c>
      <c r="P73" s="756"/>
      <c r="Q73" s="761">
        <f ca="1">SUMIF(CÁLCULO!$AX$15:$BH$43,"&lt;="&amp;PLE!Q69,CÁLCULO!$AB$15:$AL$43)*(1+CÁLCULO.TotalAdmLocal/(ORÇAMENTO!$X$15-CÁLCULO.TotalAdmLocal))</f>
        <v>0</v>
      </c>
      <c r="R73" s="761"/>
      <c r="S73" s="756">
        <f ca="1">SUMIF(CÁLCULO!$AX$15:$BH$43,"&lt;="&amp;PLE!S69,CÁLCULO!$AB$15:$AL$43)*(1+CÁLCULO.TotalAdmLocal/(ORÇAMENTO!$X$15-CÁLCULO.TotalAdmLocal))</f>
        <v>0</v>
      </c>
      <c r="T73" s="756"/>
      <c r="U73" s="761">
        <f ca="1">SUMIF(CÁLCULO!$AX$15:$BH$43,"&lt;="&amp;PLE!U69,CÁLCULO!$AB$15:$AL$43)*(1+CÁLCULO.TotalAdmLocal/(ORÇAMENTO!$X$15-CÁLCULO.TotalAdmLocal))</f>
        <v>0</v>
      </c>
      <c r="V73" s="761"/>
      <c r="W73" s="756">
        <f ca="1">SUMIF(CÁLCULO!$AX$15:$BH$43,"&lt;="&amp;PLE!W69,CÁLCULO!$AB$15:$AL$43)*(1+CÁLCULO.TotalAdmLocal/(ORÇAMENTO!$X$15-CÁLCULO.TotalAdmLocal))</f>
        <v>0</v>
      </c>
      <c r="X73" s="756"/>
      <c r="Y73" s="761">
        <f ca="1">SUMIF(CÁLCULO!$AX$15:$BH$43,"&lt;="&amp;PLE!Y69,CÁLCULO!$AB$15:$AL$43)*(1+CÁLCULO.TotalAdmLocal/(ORÇAMENTO!$X$15-CÁLCULO.TotalAdmLocal))</f>
        <v>0</v>
      </c>
      <c r="Z73" s="761"/>
      <c r="AA73" s="756">
        <f ca="1">SUMIF(CÁLCULO!$AX$15:$BH$43,"&lt;="&amp;PLE!AA69,CÁLCULO!$AB$15:$AL$43)*(1+CÁLCULO.TotalAdmLocal/(ORÇAMENTO!$X$15-CÁLCULO.TotalAdmLocal))</f>
        <v>0</v>
      </c>
      <c r="AB73" s="756"/>
      <c r="AC73" s="761">
        <f ca="1">SUMIF(CÁLCULO!$AX$15:$BH$43,"&lt;="&amp;PLE!AC69,CÁLCULO!$AB$15:$AL$43)*(1+CÁLCULO.TotalAdmLocal/(ORÇAMENTO!$X$15-CÁLCULO.TotalAdmLocal))</f>
        <v>0</v>
      </c>
      <c r="AD73" s="761"/>
      <c r="AE73" s="756">
        <f ca="1">SUMIF(CÁLCULO!$AX$15:$BH$43,"&lt;="&amp;PLE!AE69,CÁLCULO!$AB$15:$AL$43)*(1+CÁLCULO.TotalAdmLocal/(ORÇAMENTO!$X$15-CÁLCULO.TotalAdmLocal))</f>
        <v>0</v>
      </c>
      <c r="AF73" s="756"/>
    </row>
    <row r="74" spans="1:32" ht="20.25" customHeight="1">
      <c r="A74" s="9" t="s">
        <v>246</v>
      </c>
    </row>
    <row r="75" spans="1:32" ht="15">
      <c r="A75" s="9" t="s">
        <v>246</v>
      </c>
      <c r="B75" s="712" t="str">
        <f>Import.Município</f>
        <v>PAINS/MG</v>
      </c>
      <c r="C75" s="712"/>
      <c r="D75" s="712"/>
      <c r="E75" s="100"/>
      <c r="K75" s="100"/>
      <c r="U75" s="171"/>
      <c r="V75" s="171"/>
      <c r="W75" s="171"/>
      <c r="X75" s="171"/>
      <c r="Y75" s="224"/>
      <c r="Z75" s="224"/>
      <c r="AA75" s="224"/>
      <c r="AB75" s="224"/>
      <c r="AC75" s="224"/>
      <c r="AD75" s="224"/>
    </row>
    <row r="76" spans="1:32">
      <c r="A76" s="9" t="s">
        <v>246</v>
      </c>
      <c r="B76" s="12" t="s">
        <v>188</v>
      </c>
      <c r="C76" s="100"/>
      <c r="D76" s="100"/>
      <c r="E76" s="100"/>
      <c r="K76" s="100"/>
      <c r="U76" s="225" t="s">
        <v>302</v>
      </c>
      <c r="V76" s="100"/>
      <c r="W76" s="100"/>
      <c r="X76" s="100"/>
    </row>
    <row r="77" spans="1:32">
      <c r="A77" s="9" t="s">
        <v>246</v>
      </c>
      <c r="B77" s="100"/>
      <c r="C77" s="100"/>
      <c r="D77" s="100"/>
      <c r="E77" s="100"/>
      <c r="I77" s="92"/>
      <c r="K77" s="100"/>
      <c r="U77" s="90" t="s">
        <v>108</v>
      </c>
      <c r="W77" s="349">
        <f t="array" ref="W77:W80">Import.RespFiscalização</f>
        <v>0</v>
      </c>
      <c r="X77" s="100"/>
    </row>
    <row r="78" spans="1:32">
      <c r="A78" s="9" t="s">
        <v>246</v>
      </c>
      <c r="B78" s="707">
        <f ca="1">DADOS!$F$48</f>
        <v>45609</v>
      </c>
      <c r="C78" s="707"/>
      <c r="D78" s="707"/>
      <c r="E78" s="100"/>
      <c r="I78" s="92"/>
      <c r="K78" s="100"/>
      <c r="U78" s="90" t="s">
        <v>127</v>
      </c>
      <c r="W78" s="349">
        <v>0</v>
      </c>
      <c r="X78" s="100"/>
    </row>
    <row r="79" spans="1:32">
      <c r="A79" s="9" t="s">
        <v>246</v>
      </c>
      <c r="B79" s="173" t="s">
        <v>189</v>
      </c>
      <c r="C79" s="174"/>
      <c r="D79" s="174"/>
      <c r="E79" s="100"/>
      <c r="I79" s="92"/>
      <c r="K79" s="100"/>
      <c r="U79" s="90" t="s">
        <v>109</v>
      </c>
      <c r="W79" s="349">
        <v>0</v>
      </c>
      <c r="X79" s="100"/>
    </row>
    <row r="80" spans="1:32">
      <c r="U80" s="90" t="s">
        <v>110</v>
      </c>
      <c r="W80" s="350">
        <v>0</v>
      </c>
    </row>
  </sheetData>
  <sheetProtection sheet="1" objects="1" scenarios="1" autoFilter="0"/>
  <autoFilter ref="A13:A79"/>
  <mergeCells count="143">
    <mergeCell ref="I69:J69"/>
    <mergeCell ref="I70:J70"/>
    <mergeCell ref="I68:J68"/>
    <mergeCell ref="C31:D31"/>
    <mergeCell ref="C32:D32"/>
    <mergeCell ref="C30:D30"/>
    <mergeCell ref="C33:D33"/>
    <mergeCell ref="C50:D50"/>
    <mergeCell ref="C51:D51"/>
    <mergeCell ref="D70:D71"/>
    <mergeCell ref="C62:D62"/>
    <mergeCell ref="C63:D63"/>
    <mergeCell ref="C64:D64"/>
    <mergeCell ref="C56:D56"/>
    <mergeCell ref="C57:D57"/>
    <mergeCell ref="C58:D58"/>
    <mergeCell ref="C59:D59"/>
    <mergeCell ref="C60:D60"/>
    <mergeCell ref="C61:D61"/>
    <mergeCell ref="K69:L69"/>
    <mergeCell ref="M69:N69"/>
    <mergeCell ref="O69:P69"/>
    <mergeCell ref="W69:X69"/>
    <mergeCell ref="M71:N71"/>
    <mergeCell ref="AA71:AB71"/>
    <mergeCell ref="S71:T71"/>
    <mergeCell ref="O70:P70"/>
    <mergeCell ref="K68:L68"/>
    <mergeCell ref="K70:L70"/>
    <mergeCell ref="AA70:AB70"/>
    <mergeCell ref="M70:N70"/>
    <mergeCell ref="Y70:Z70"/>
    <mergeCell ref="W70:X70"/>
    <mergeCell ref="U70:V70"/>
    <mergeCell ref="Q70:R70"/>
    <mergeCell ref="S70:T70"/>
    <mergeCell ref="M68:N68"/>
    <mergeCell ref="AE71:AF71"/>
    <mergeCell ref="AE73:AF73"/>
    <mergeCell ref="Q73:R73"/>
    <mergeCell ref="Y73:Z73"/>
    <mergeCell ref="AA73:AB73"/>
    <mergeCell ref="O71:P71"/>
    <mergeCell ref="Q71:R71"/>
    <mergeCell ref="AE72:AF72"/>
    <mergeCell ref="Q72:R72"/>
    <mergeCell ref="W71:X71"/>
    <mergeCell ref="S73:T73"/>
    <mergeCell ref="Y71:Z71"/>
    <mergeCell ref="U71:V71"/>
    <mergeCell ref="W73:X73"/>
    <mergeCell ref="W72:X72"/>
    <mergeCell ref="U72:V72"/>
    <mergeCell ref="Y72:Z72"/>
    <mergeCell ref="U73:V73"/>
    <mergeCell ref="AC73:AD73"/>
    <mergeCell ref="AC71:AD71"/>
    <mergeCell ref="AC72:AD72"/>
    <mergeCell ref="AA72:AB72"/>
    <mergeCell ref="K73:L73"/>
    <mergeCell ref="K72:L72"/>
    <mergeCell ref="I72:J72"/>
    <mergeCell ref="K71:L71"/>
    <mergeCell ref="I71:J71"/>
    <mergeCell ref="O73:P73"/>
    <mergeCell ref="S72:T72"/>
    <mergeCell ref="B78:D78"/>
    <mergeCell ref="B75:D75"/>
    <mergeCell ref="D72:D73"/>
    <mergeCell ref="M72:N72"/>
    <mergeCell ref="M73:N73"/>
    <mergeCell ref="I73:J73"/>
    <mergeCell ref="O72:P72"/>
    <mergeCell ref="AC70:AD70"/>
    <mergeCell ref="AE70:AF70"/>
    <mergeCell ref="AA68:AB68"/>
    <mergeCell ref="Y68:Z68"/>
    <mergeCell ref="AE69:AF69"/>
    <mergeCell ref="AC69:AD69"/>
    <mergeCell ref="AA69:AB69"/>
    <mergeCell ref="U69:V69"/>
    <mergeCell ref="Q69:R69"/>
    <mergeCell ref="S69:T69"/>
    <mergeCell ref="U68:V68"/>
    <mergeCell ref="AE68:AF68"/>
    <mergeCell ref="AC68:AD68"/>
    <mergeCell ref="W68:X68"/>
    <mergeCell ref="Y69:Z69"/>
    <mergeCell ref="Q68:R68"/>
    <mergeCell ref="S68:T68"/>
    <mergeCell ref="C24:D24"/>
    <mergeCell ref="C34:D34"/>
    <mergeCell ref="I67:AF67"/>
    <mergeCell ref="B12:B13"/>
    <mergeCell ref="O68:P68"/>
    <mergeCell ref="C15:D15"/>
    <mergeCell ref="C39:D39"/>
    <mergeCell ref="C41:D41"/>
    <mergeCell ref="C42:D42"/>
    <mergeCell ref="C16:D16"/>
    <mergeCell ref="C17:D17"/>
    <mergeCell ref="C20:D20"/>
    <mergeCell ref="C18:D18"/>
    <mergeCell ref="C19:D19"/>
    <mergeCell ref="C21:D21"/>
    <mergeCell ref="C22:D22"/>
    <mergeCell ref="C23:D23"/>
    <mergeCell ref="C36:D36"/>
    <mergeCell ref="C37:D37"/>
    <mergeCell ref="C52:D52"/>
    <mergeCell ref="C53:D53"/>
    <mergeCell ref="C54:D54"/>
    <mergeCell ref="C55:D55"/>
    <mergeCell ref="C25:D25"/>
    <mergeCell ref="C1:D1"/>
    <mergeCell ref="AD3:AF3"/>
    <mergeCell ref="AD4:AF4"/>
    <mergeCell ref="AE6:AF6"/>
    <mergeCell ref="H7:N7"/>
    <mergeCell ref="O7:U7"/>
    <mergeCell ref="C11:D11"/>
    <mergeCell ref="C12:D13"/>
    <mergeCell ref="J9:K9"/>
    <mergeCell ref="N9:T9"/>
    <mergeCell ref="B7:C7"/>
    <mergeCell ref="AE7:AF7"/>
    <mergeCell ref="V7:AD7"/>
    <mergeCell ref="Y9:Z9"/>
    <mergeCell ref="AE9:AF9"/>
    <mergeCell ref="C26:D26"/>
    <mergeCell ref="C27:D27"/>
    <mergeCell ref="C28:D28"/>
    <mergeCell ref="C29:D29"/>
    <mergeCell ref="C35:D35"/>
    <mergeCell ref="C49:D49"/>
    <mergeCell ref="C44:D44"/>
    <mergeCell ref="C45:D45"/>
    <mergeCell ref="C46:D46"/>
    <mergeCell ref="C47:D47"/>
    <mergeCell ref="C48:D48"/>
    <mergeCell ref="C38:D38"/>
    <mergeCell ref="C40:D40"/>
    <mergeCell ref="C43:D43"/>
  </mergeCells>
  <phoneticPr fontId="37" type="noConversion"/>
  <conditionalFormatting sqref="F1:F2">
    <cfRule type="expression" dxfId="69" priority="439" stopIfTrue="1">
      <formula>IF(OR(ACOMPANHAMENTO="BM",F$12&gt;CÁLCULO.NúmeroDeFrentes),TRUE,PLE.ValorDoEvento=0)</formula>
    </cfRule>
    <cfRule type="cellIs" dxfId="68" priority="440" stopIfTrue="1" operator="equal">
      <formula>$J$9</formula>
    </cfRule>
  </conditionalFormatting>
  <conditionalFormatting sqref="I70:AF70">
    <cfRule type="expression" dxfId="67" priority="441" stopIfTrue="1">
      <formula>I69=$J$9</formula>
    </cfRule>
  </conditionalFormatting>
  <conditionalFormatting sqref="I71:AF71">
    <cfRule type="expression" dxfId="66" priority="442" stopIfTrue="1">
      <formula>I69=$J$9</formula>
    </cfRule>
  </conditionalFormatting>
  <conditionalFormatting sqref="I72:AF72">
    <cfRule type="expression" dxfId="65" priority="443" stopIfTrue="1">
      <formula>I69=$J$9</formula>
    </cfRule>
  </conditionalFormatting>
  <conditionalFormatting sqref="I73:AF73">
    <cfRule type="expression" dxfId="64" priority="444" stopIfTrue="1">
      <formula>I69=$J$9</formula>
    </cfRule>
  </conditionalFormatting>
  <conditionalFormatting sqref="I69:J69">
    <cfRule type="cellIs" dxfId="63" priority="438" stopIfTrue="1" operator="notEqual">
      <formula>1</formula>
    </cfRule>
  </conditionalFormatting>
  <conditionalFormatting sqref="H1:AF1">
    <cfRule type="expression" dxfId="62" priority="456" stopIfTrue="1">
      <formula>IF(OR(ACOMPANHAMENTO="BM",TIPOORCAMENTO="Proposto",H$12&gt;CÁLCULO.NúmeroDeFrentes),TRUE,PLE.ValorDoEvento=0)</formula>
    </cfRule>
    <cfRule type="cellIs" dxfId="61" priority="457" stopIfTrue="1" operator="equal">
      <formula>$J$9</formula>
    </cfRule>
  </conditionalFormatting>
  <conditionalFormatting sqref="AE6:AE7">
    <cfRule type="expression" dxfId="60" priority="445" stopIfTrue="1">
      <formula>TIPOORCAMENTO&lt;&gt;"Licitado"</formula>
    </cfRule>
  </conditionalFormatting>
  <conditionalFormatting sqref="N9:T9">
    <cfRule type="expression" dxfId="59" priority="446" stopIfTrue="1">
      <formula>COLUMN(N9)&gt;COLUMN($AF$12)</formula>
    </cfRule>
    <cfRule type="expression" dxfId="58" priority="447" stopIfTrue="1">
      <formula>$N$9="DIGITE A DATA DA MEDIÇÃO"</formula>
    </cfRule>
  </conditionalFormatting>
  <conditionalFormatting sqref="I9:M9 U9:AF9">
    <cfRule type="expression" dxfId="57" priority="448" stopIfTrue="1">
      <formula>COLUMN(I9)&gt;COLUMN($AF$12)</formula>
    </cfRule>
  </conditionalFormatting>
  <conditionalFormatting sqref="F16:F24">
    <cfRule type="expression" dxfId="56" priority="21" stopIfTrue="1">
      <formula>IF(OR(ACOMPANHAMENTO="BM",F$12&gt;CÁLCULO.NúmeroDeFrentes),TRUE,PLE.ValorDoEvento=0)</formula>
    </cfRule>
    <cfRule type="cellIs" dxfId="55" priority="22" stopIfTrue="1" operator="equal">
      <formula>$J$9</formula>
    </cfRule>
  </conditionalFormatting>
  <conditionalFormatting sqref="H16:AF24">
    <cfRule type="expression" dxfId="54" priority="23" stopIfTrue="1">
      <formula>IF(OR(ACOMPANHAMENTO="BM",TIPOORCAMENTO="Proposto",H$12&gt;CÁLCULO.NúmeroDeFrentes),TRUE,PLE.ValorDoEvento=0)</formula>
    </cfRule>
    <cfRule type="cellIs" dxfId="53" priority="24" stopIfTrue="1" operator="equal">
      <formula>$J$9</formula>
    </cfRule>
  </conditionalFormatting>
  <conditionalFormatting sqref="F25:F33">
    <cfRule type="expression" dxfId="52" priority="17" stopIfTrue="1">
      <formula>IF(OR(ACOMPANHAMENTO="BM",F$12&gt;CÁLCULO.NúmeroDeFrentes),TRUE,PLE.ValorDoEvento=0)</formula>
    </cfRule>
    <cfRule type="cellIs" dxfId="51" priority="18" stopIfTrue="1" operator="equal">
      <formula>$J$9</formula>
    </cfRule>
  </conditionalFormatting>
  <conditionalFormatting sqref="H25:AF33">
    <cfRule type="expression" dxfId="50" priority="19" stopIfTrue="1">
      <formula>IF(OR(ACOMPANHAMENTO="BM",TIPOORCAMENTO="Proposto",H$12&gt;CÁLCULO.NúmeroDeFrentes),TRUE,PLE.ValorDoEvento=0)</formula>
    </cfRule>
    <cfRule type="cellIs" dxfId="49" priority="20" stopIfTrue="1" operator="equal">
      <formula>$J$9</formula>
    </cfRule>
  </conditionalFormatting>
  <conditionalFormatting sqref="F34:F42">
    <cfRule type="expression" dxfId="48" priority="13" stopIfTrue="1">
      <formula>IF(OR(ACOMPANHAMENTO="BM",F$12&gt;CÁLCULO.NúmeroDeFrentes),TRUE,PLE.ValorDoEvento=0)</formula>
    </cfRule>
    <cfRule type="cellIs" dxfId="47" priority="14" stopIfTrue="1" operator="equal">
      <formula>$J$9</formula>
    </cfRule>
  </conditionalFormatting>
  <conditionalFormatting sqref="H34:AF42">
    <cfRule type="expression" dxfId="46" priority="15" stopIfTrue="1">
      <formula>IF(OR(ACOMPANHAMENTO="BM",TIPOORCAMENTO="Proposto",H$12&gt;CÁLCULO.NúmeroDeFrentes),TRUE,PLE.ValorDoEvento=0)</formula>
    </cfRule>
    <cfRule type="cellIs" dxfId="45" priority="16" stopIfTrue="1" operator="equal">
      <formula>$J$9</formula>
    </cfRule>
  </conditionalFormatting>
  <conditionalFormatting sqref="F43:F51">
    <cfRule type="expression" dxfId="44" priority="9" stopIfTrue="1">
      <formula>IF(OR(ACOMPANHAMENTO="BM",F$12&gt;CÁLCULO.NúmeroDeFrentes),TRUE,PLE.ValorDoEvento=0)</formula>
    </cfRule>
    <cfRule type="cellIs" dxfId="43" priority="10" stopIfTrue="1" operator="equal">
      <formula>$J$9</formula>
    </cfRule>
  </conditionalFormatting>
  <conditionalFormatting sqref="H43:AF51">
    <cfRule type="expression" dxfId="42" priority="11" stopIfTrue="1">
      <formula>IF(OR(ACOMPANHAMENTO="BM",TIPOORCAMENTO="Proposto",H$12&gt;CÁLCULO.NúmeroDeFrentes),TRUE,PLE.ValorDoEvento=0)</formula>
    </cfRule>
    <cfRule type="cellIs" dxfId="41" priority="12" stopIfTrue="1" operator="equal">
      <formula>$J$9</formula>
    </cfRule>
  </conditionalFormatting>
  <conditionalFormatting sqref="F52:F60">
    <cfRule type="expression" dxfId="40" priority="5" stopIfTrue="1">
      <formula>IF(OR(ACOMPANHAMENTO="BM",F$12&gt;CÁLCULO.NúmeroDeFrentes),TRUE,PLE.ValorDoEvento=0)</formula>
    </cfRule>
    <cfRule type="cellIs" dxfId="39" priority="6" stopIfTrue="1" operator="equal">
      <formula>$J$9</formula>
    </cfRule>
  </conditionalFormatting>
  <conditionalFormatting sqref="H52:AF60">
    <cfRule type="expression" dxfId="38" priority="7" stopIfTrue="1">
      <formula>IF(OR(ACOMPANHAMENTO="BM",TIPOORCAMENTO="Proposto",H$12&gt;CÁLCULO.NúmeroDeFrentes),TRUE,PLE.ValorDoEvento=0)</formula>
    </cfRule>
    <cfRule type="cellIs" dxfId="37" priority="8" stopIfTrue="1" operator="equal">
      <formula>$J$9</formula>
    </cfRule>
  </conditionalFormatting>
  <conditionalFormatting sqref="F61:F64">
    <cfRule type="expression" dxfId="36" priority="1" stopIfTrue="1">
      <formula>IF(OR(ACOMPANHAMENTO="BM",F$12&gt;CÁLCULO.NúmeroDeFrentes),TRUE,PLE.ValorDoEvento=0)</formula>
    </cfRule>
    <cfRule type="cellIs" dxfId="35" priority="2" stopIfTrue="1" operator="equal">
      <formula>$J$9</formula>
    </cfRule>
  </conditionalFormatting>
  <conditionalFormatting sqref="H61:AF64">
    <cfRule type="expression" dxfId="34" priority="3" stopIfTrue="1">
      <formula>IF(OR(ACOMPANHAMENTO="BM",TIPOORCAMENTO="Proposto",H$12&gt;CÁLCULO.NúmeroDeFrentes),TRUE,PLE.ValorDoEvento=0)</formula>
    </cfRule>
    <cfRule type="cellIs" dxfId="33" priority="4" stopIfTrue="1" operator="equal">
      <formula>$J$9</formula>
    </cfRule>
  </conditionalFormatting>
  <dataValidations count="3">
    <dataValidation type="whole" operator="greaterThan" allowBlank="1" showErrorMessage="1" sqref="F1:F4 I3:AC4 J9:K9 F16:F64">
      <formula1>0</formula1>
      <formula2>0</formula2>
    </dataValidation>
    <dataValidation allowBlank="1" showInputMessage="1" showErrorMessage="1" prompt="Digite a data de medição abaixo dos eventos." sqref="N9:T9">
      <formula1>0</formula1>
      <formula2>0</formula2>
    </dataValidation>
    <dataValidation type="whole" operator="equal" allowBlank="1" showErrorMessage="1" errorTitle="Errp de entrada" error="Preencha somente com o número da medição atual." sqref="H1:AF1 H16:AF64">
      <formula1>PLE.Medicao</formula1>
    </dataValidation>
  </dataValidations>
  <printOptions horizontalCentered="1"/>
  <pageMargins left="0.78740157480314998" right="0.78740157480314998" top="0.78740157480314998" bottom="0.78740157480314998" header="0.59055118110236204" footer="0.59055118110236204"/>
  <pageSetup paperSize="9" scale="69" firstPageNumber="0" orientation="landscape" r:id="rId1"/>
  <headerFooter alignWithMargins="0">
    <oddHeader>&amp;C&amp;14I</oddHeader>
    <oddFooter>&amp;LPMv3.0.6&amp;R&amp;P / &amp;N</oddFooter>
  </headerFooter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Plan7">
    <pageSetUpPr fitToPage="1"/>
  </sheetPr>
  <dimension ref="A1:AE37"/>
  <sheetViews>
    <sheetView showGridLines="0" topLeftCell="C1" zoomScale="90" zoomScaleNormal="90" zoomScaleSheetLayoutView="90" workbookViewId="0">
      <pane xSplit="5" ySplit="13" topLeftCell="H14" activePane="bottomRight" state="frozen"/>
      <selection activeCell="C1" sqref="C1"/>
      <selection pane="topRight" activeCell="H1" sqref="H1"/>
      <selection pane="bottomLeft" activeCell="C14" sqref="C14"/>
      <selection pane="bottomRight" activeCell="L18" sqref="L18"/>
    </sheetView>
  </sheetViews>
  <sheetFormatPr defaultRowHeight="12.75"/>
  <cols>
    <col min="1" max="1" width="15.85546875" hidden="1" customWidth="1"/>
    <col min="2" max="2" width="10.42578125" hidden="1" customWidth="1"/>
    <col min="3" max="3" width="3.7109375" customWidth="1"/>
    <col min="4" max="4" width="6.7109375" customWidth="1"/>
    <col min="5" max="5" width="18.7109375" customWidth="1"/>
    <col min="6" max="6" width="28.7109375" customWidth="1"/>
    <col min="7" max="7" width="35.7109375" customWidth="1"/>
    <col min="8" max="8" width="15.7109375" customWidth="1"/>
    <col min="9" max="9" width="12.7109375" customWidth="1"/>
    <col min="10" max="10" width="7.7109375" customWidth="1"/>
    <col min="11" max="15" width="16.7109375" customWidth="1"/>
    <col min="16" max="17" width="5.7109375" customWidth="1"/>
    <col min="18" max="18" width="35.7109375" customWidth="1"/>
    <col min="19" max="19" width="1.7109375" customWidth="1"/>
    <col min="20" max="21" width="16.7109375" customWidth="1"/>
    <col min="22" max="22" width="13.7109375" customWidth="1"/>
    <col min="23" max="24" width="16.7109375" customWidth="1"/>
    <col min="25" max="25" width="1.7109375" customWidth="1"/>
    <col min="26" max="28" width="9.140625" hidden="1" customWidth="1"/>
    <col min="29" max="29" width="3.7109375" hidden="1" customWidth="1"/>
    <col min="30" max="30" width="13.42578125" hidden="1" customWidth="1"/>
    <col min="31" max="31" width="9.140625" hidden="1" customWidth="1"/>
  </cols>
  <sheetData>
    <row r="1" spans="1:31" ht="30" customHeight="1">
      <c r="F1" s="351" t="s">
        <v>303</v>
      </c>
      <c r="I1" s="10"/>
      <c r="J1" s="10"/>
    </row>
    <row r="2" spans="1:31">
      <c r="Z2" s="123" t="s">
        <v>304</v>
      </c>
      <c r="AA2" s="352" t="s">
        <v>305</v>
      </c>
      <c r="AB2" s="90"/>
    </row>
    <row r="3" spans="1:31">
      <c r="D3" s="680" t="s">
        <v>146</v>
      </c>
      <c r="E3" s="680"/>
      <c r="F3" s="107" t="s">
        <v>442</v>
      </c>
      <c r="G3" s="680" t="s">
        <v>147</v>
      </c>
      <c r="H3" s="680"/>
      <c r="I3" s="680"/>
      <c r="J3" s="765" t="s">
        <v>306</v>
      </c>
      <c r="K3" s="765"/>
      <c r="L3" s="765"/>
      <c r="M3" s="766" t="s">
        <v>307</v>
      </c>
      <c r="N3" s="766"/>
      <c r="O3" s="766"/>
      <c r="Z3" s="127">
        <f ca="1">MAX(Z7:AB7)</f>
        <v>0</v>
      </c>
      <c r="AA3" s="353">
        <f ca="1">IF(OR($O$24=ORÇAMENTO.SumINVMANUAL+QCI.SumINVMANUAL,$O$24=0),0,MIN(MAX(0,($Z$3*$O$24-ORÇAMENTO.SumCPMANUAL-QCI.SumCPMANUAL)/($O$24-ORÇAMENTO.SumINVMANUAL-QCI.SumINVMANUAL)),1))</f>
        <v>0</v>
      </c>
      <c r="AB3" s="115"/>
    </row>
    <row r="4" spans="1:31">
      <c r="D4" s="677" t="str">
        <f>Import.CR</f>
        <v>17405-2024</v>
      </c>
      <c r="E4" s="677"/>
      <c r="F4" s="68" t="str">
        <f>Import.TransfereGOV</f>
        <v>965783/2024</v>
      </c>
      <c r="G4" s="677" t="str">
        <f>Import.Proponente</f>
        <v>MUNICÍPIO DE PAINS</v>
      </c>
      <c r="H4" s="677"/>
      <c r="I4" s="677"/>
      <c r="J4" s="767" t="str">
        <f>Import.Município</f>
        <v>PAINS/MG</v>
      </c>
      <c r="K4" s="767"/>
      <c r="L4" s="767"/>
      <c r="M4" s="766"/>
      <c r="N4" s="766"/>
      <c r="O4" s="766"/>
      <c r="R4" s="162"/>
      <c r="Z4" s="115"/>
      <c r="AA4" s="115"/>
      <c r="AB4" s="115"/>
    </row>
    <row r="5" spans="1:31" ht="5.0999999999999996" customHeight="1">
      <c r="M5" s="341"/>
      <c r="N5" s="96"/>
      <c r="O5" s="55"/>
      <c r="Z5" s="123"/>
      <c r="AA5" s="16"/>
      <c r="AB5" s="123"/>
    </row>
    <row r="6" spans="1:31">
      <c r="D6" s="680" t="s">
        <v>202</v>
      </c>
      <c r="E6" s="680"/>
      <c r="F6" s="680"/>
      <c r="G6" s="680"/>
      <c r="H6" s="680"/>
      <c r="I6" s="680"/>
      <c r="J6" s="680"/>
      <c r="K6" s="680"/>
      <c r="L6" s="354" t="s">
        <v>210</v>
      </c>
      <c r="M6" s="107" t="str">
        <f>IF(import.recurso="FGTS","FINANCIAMENTO","REPASSE")</f>
        <v>REPASSE</v>
      </c>
      <c r="N6" s="107" t="s">
        <v>308</v>
      </c>
      <c r="O6" s="107" t="s">
        <v>309</v>
      </c>
      <c r="Z6" s="123" t="s">
        <v>310</v>
      </c>
      <c r="AA6" s="16" t="s">
        <v>311</v>
      </c>
      <c r="AB6" s="123" t="s">
        <v>312</v>
      </c>
    </row>
    <row r="7" spans="1:31" ht="12.75" customHeight="1">
      <c r="C7" s="706" t="s">
        <v>209</v>
      </c>
      <c r="D7" s="677" t="str">
        <f>Import.Apelido</f>
        <v>RECAPEAMENTO DE VIA PÚBLICA</v>
      </c>
      <c r="E7" s="677"/>
      <c r="F7" s="677"/>
      <c r="G7" s="677"/>
      <c r="H7" s="677"/>
      <c r="I7" s="677"/>
      <c r="J7" s="677"/>
      <c r="K7" s="677"/>
      <c r="L7" s="355" t="str">
        <f>import.recurso</f>
        <v>OGU</v>
      </c>
      <c r="M7" s="356">
        <f>Import.Repasse</f>
        <v>549147.59</v>
      </c>
      <c r="N7" s="356">
        <f>Import.Contrapartida</f>
        <v>5491.47</v>
      </c>
      <c r="O7" s="356">
        <f>M7+N7</f>
        <v>554639.05999999994</v>
      </c>
      <c r="Z7" s="127">
        <f>ROUND(Import.CPMinPerc,4)</f>
        <v>0</v>
      </c>
      <c r="AA7" s="127">
        <f ca="1">IF($O$24=0,0,Import.CPMinAbsoluta/$O$24)</f>
        <v>0</v>
      </c>
      <c r="AB7" s="127">
        <f ca="1">IF($O$24=0,0,($O$24-$AB$24-Import.Repasse)/($O$24))</f>
        <v>-131.84200404466549</v>
      </c>
    </row>
    <row r="8" spans="1:31">
      <c r="C8" s="706"/>
      <c r="D8" s="115"/>
      <c r="E8" s="115"/>
      <c r="F8" s="357"/>
      <c r="G8" s="115"/>
      <c r="H8" s="115"/>
      <c r="I8" s="115"/>
      <c r="J8" s="115"/>
      <c r="K8" s="115"/>
      <c r="L8" s="115"/>
      <c r="M8" s="115"/>
      <c r="N8" s="115"/>
      <c r="O8" s="115"/>
    </row>
    <row r="9" spans="1:31" ht="12.75" customHeight="1">
      <c r="C9" s="706"/>
      <c r="E9" s="16"/>
      <c r="G9" s="770" t="str">
        <f ca="1">CHOOSE(1+LOG(1+2*(AND($O$24&gt;0,$M$25&gt;Import.CPMaxPerc,Import.CPMaxPerc&gt;0))+4*(OR(AND($O$24&gt;0,$M$25&lt;QCI!$Z$7),$M$24&lt;ROUND(Import.CPMinAbsoluta,2)))+8*(OR($L$10&lt;0,$M$10&lt;0))+16*(COUNTIF($L$13:$L$24,"&lt;0")&gt;0)+32*(OFFSET($A$24,-1,0)&lt;OFFSET(ORÇAMENTO!$E$43,-1,0)),2),"","ERRO: CONTRAPARTIDA MAIOR QUE A MÁXIMA","ERRO: CONTRAPARTIDA MENOR QUE A MÍNIMA","ERRO: SALDO NEGATIVO","ERRO: VALORES DE REPASSE NEGATIVOS","ERRO: NÚMERO DE LINHAS DO QCI INSUFICIENTE. CLIQUE NO BOTÃO ADICIONAR LINHAS")</f>
        <v/>
      </c>
      <c r="H9" s="770"/>
      <c r="I9" s="770"/>
      <c r="J9" s="770"/>
      <c r="K9" s="771" t="s">
        <v>313</v>
      </c>
      <c r="L9" s="358" t="str">
        <f>$L$13</f>
        <v>Repasse (R$)</v>
      </c>
      <c r="M9" s="358" t="s">
        <v>238</v>
      </c>
      <c r="AD9" s="768"/>
      <c r="AE9" s="768"/>
    </row>
    <row r="10" spans="1:31" ht="12.75" customHeight="1">
      <c r="A10" s="772" t="s">
        <v>314</v>
      </c>
      <c r="C10" s="706"/>
      <c r="G10" s="770"/>
      <c r="H10" s="770"/>
      <c r="I10" s="770"/>
      <c r="J10" s="770"/>
      <c r="K10" s="771"/>
      <c r="L10" s="359">
        <f ca="1">Import.Repasse-L24</f>
        <v>545013.75</v>
      </c>
      <c r="M10" s="360">
        <f ca="1">Import.Contrapartida-M24</f>
        <v>5491.47</v>
      </c>
      <c r="Z10" s="719" t="s">
        <v>216</v>
      </c>
      <c r="AA10" s="719"/>
      <c r="AB10" s="719"/>
      <c r="AD10" s="768" t="s">
        <v>315</v>
      </c>
      <c r="AE10" s="768"/>
    </row>
    <row r="11" spans="1:31" ht="20.100000000000001" customHeight="1">
      <c r="A11" s="772"/>
      <c r="C11" s="706"/>
      <c r="Z11" s="135" t="s">
        <v>316</v>
      </c>
      <c r="AA11" s="135" t="s">
        <v>238</v>
      </c>
      <c r="AB11" s="136" t="s">
        <v>239</v>
      </c>
    </row>
    <row r="12" spans="1:31" hidden="1">
      <c r="A12">
        <f ca="1">IF(NOT(ISBLANK(QCI.DescManual)),OFFSET(A12,-1,0),D12)</f>
        <v>-1</v>
      </c>
      <c r="B12" t="str">
        <f ca="1">IF(NOT(ISBLANK(QCI.DescManual)),IF(QCI.Divisao="Calculado","Manual","SemiAuto"),IF(ISERROR(MATCH($A12,ORÇAMENTO!$E$15:$E$43,0)),"Branco","Automático"))</f>
        <v>Branco</v>
      </c>
      <c r="C12" t="str">
        <f ca="1">IF(O12&gt;0,"F","")</f>
        <v/>
      </c>
      <c r="D12" s="361">
        <f>ROW()-ROW($D$13)</f>
        <v>-1</v>
      </c>
      <c r="E12" s="143"/>
      <c r="F12" s="362"/>
      <c r="G12" s="641" t="str">
        <f ca="1">IF(OR($B12="Manual",$B12="SemiAuto"),QCI.DescManual,IF($B12="Automático",INDEX(ORÇAMENTO!$R$15:$R$43,MATCH($A12,ORÇAMENTO!$E$15:$E$43,0)),""))</f>
        <v/>
      </c>
      <c r="H12" s="143"/>
      <c r="I12" s="640"/>
      <c r="J12" s="363" t="str">
        <f ca="1">IF(AND(ISBLANK(E12),ISBLANK(F12)),"",VLOOKUP($F12,OFFSET(DADOS!$A$2,1,MATCH(QCI!$E12,DADOS!$2:$2,0)-1,100,50),2,FALSE))</f>
        <v/>
      </c>
      <c r="K12" s="639" t="str">
        <f ca="1">IF(OR($B12="Manual",$B12="SemiAuto"),QCI.LoteManual,IF($B12="Automático",IF(TIPOORCAMENTO="Licitado",Import.CTEF,"LOTE 1"),""))</f>
        <v/>
      </c>
      <c r="L12" s="364">
        <f ca="1">ROUND($O12,2)-ROUND($M12,2)-ROUND($N12,2)</f>
        <v>0</v>
      </c>
      <c r="M12" s="365">
        <f ca="1">ROUND($AA12,2)-ROUND($AE12,2)</f>
        <v>0</v>
      </c>
      <c r="N12" s="366">
        <f ca="1">ROUND($AB12,2)</f>
        <v>0</v>
      </c>
      <c r="O12" s="367">
        <f ca="1">IF($B12="Branco",0,IF(OR($B12="Manual",$B12="SemiAuto"),QCI.InvManual,INDEX(ORÇAMENTO!X$15:X$43,MATCH($A12,ORÇAMENTO!$E$15:$E$43,0))))</f>
        <v>0</v>
      </c>
      <c r="P12" s="612"/>
      <c r="R12" s="642"/>
      <c r="T12" s="643"/>
      <c r="U12" s="369"/>
      <c r="V12" s="644" t="s">
        <v>317</v>
      </c>
      <c r="W12" s="370">
        <f ca="1">$O12</f>
        <v>0</v>
      </c>
      <c r="X12" s="371">
        <v>0</v>
      </c>
      <c r="Z12" s="372">
        <f ca="1">$O12-$AA12-$AB12</f>
        <v>0</v>
      </c>
      <c r="AA12">
        <f ca="1">IF($B12="Branco",0,IF($B12="Manual",QCI.CPManual,IF($B12="SemiAuto",ROUND(QCI!$AA$3*QCI.InvManual,2),INDEX(ORÇAMENTO!$AA$15:$AA$43,MATCH($A12,ORÇAMENTO!$E$15:$E$43,0)))))</f>
        <v>0</v>
      </c>
      <c r="AB12">
        <f ca="1">IF($B12="Branco",0,IF($B12="Manual",QCI.OutrosManual,IF($B12="SemiAuto",0,INDEX(ORÇAMENTO!$AB$15:$AB$43,MATCH($A12,ORÇAMENTO!$E$15:$E$43,0)))))</f>
        <v>0</v>
      </c>
      <c r="AD12" s="373" t="b">
        <f ca="1">AND($AA$3&gt;0,$AA$3&lt;1,$O12&gt;0,OR($B12="Automático",$B12="SemiAuto"),OR(QCI!$Z$3=QCI!$Z$7,QCI!$Z$3=QCI!$AA$7,QCI!$Z$3=QCI!$AB$7))</f>
        <v>0</v>
      </c>
      <c r="AE12" s="373">
        <f ca="1">IF(AND($AD12,$O12&gt;0,COUNTIF(OFFSET($AD12,1,0):$AD$24,TRUE)=0),CHOOSE(1+LOG(1+2*(QCI!$Z$3=QCI!$Z$7)+4*(QCI!$Z$3=QCI!$AA$7)+8*(QCI!$Z$3=QCI!$AB$7),2),0,$AA$24-ROUND(Import.CPMinPerc*$O$24,2),$AA$24-Import.CPMinAbsoluta,Import.Repasse-$Z$24),0)</f>
        <v>0</v>
      </c>
    </row>
    <row r="13" spans="1:31" ht="25.5" customHeight="1">
      <c r="A13" s="374">
        <v>0</v>
      </c>
      <c r="B13" s="375" t="s">
        <v>318</v>
      </c>
      <c r="C13" s="131" t="s">
        <v>217</v>
      </c>
      <c r="D13" s="132" t="s">
        <v>195</v>
      </c>
      <c r="E13" s="132" t="s">
        <v>319</v>
      </c>
      <c r="F13" s="132" t="s">
        <v>320</v>
      </c>
      <c r="G13" s="132" t="s">
        <v>321</v>
      </c>
      <c r="H13" s="132" t="s">
        <v>161</v>
      </c>
      <c r="I13" s="132" t="s">
        <v>203</v>
      </c>
      <c r="J13" s="132" t="s">
        <v>322</v>
      </c>
      <c r="K13" s="132" t="s">
        <v>323</v>
      </c>
      <c r="L13" s="376" t="str">
        <f>IF(import.recurso="FGTS","Financiamento (R$)","Repasse (R$)")</f>
        <v>Repasse (R$)</v>
      </c>
      <c r="M13" s="377" t="s">
        <v>324</v>
      </c>
      <c r="N13" s="378" t="s">
        <v>239</v>
      </c>
      <c r="O13" s="132" t="s">
        <v>325</v>
      </c>
      <c r="R13" s="379" t="s">
        <v>321</v>
      </c>
      <c r="T13" s="379" t="s">
        <v>323</v>
      </c>
      <c r="U13" s="197" t="s">
        <v>325</v>
      </c>
      <c r="V13" s="380" t="s">
        <v>326</v>
      </c>
      <c r="W13" s="196" t="s">
        <v>324</v>
      </c>
      <c r="X13" s="198" t="s">
        <v>239</v>
      </c>
    </row>
    <row r="14" spans="1:31">
      <c r="A14">
        <f t="shared" ref="A14:A23" ca="1" si="0">IF(NOT(ISBLANK(QCI.DescManual)),OFFSET(A14,-1,0),D14)</f>
        <v>1</v>
      </c>
      <c r="B14" t="str">
        <f ca="1">IF(NOT(ISBLANK(QCI.DescManual)),IF(QCI.Divisao="Calculado","Manual","SemiAuto"),IF(ISERROR(MATCH($A14,ORÇAMENTO!$E$15:$E$43,0)),"Branco","Automático"))</f>
        <v>Automático</v>
      </c>
      <c r="C14" t="str">
        <f t="shared" ref="C14:C22" ca="1" si="1">IF(O14&gt;0,"F","")</f>
        <v>F</v>
      </c>
      <c r="D14" s="361">
        <f t="shared" ref="D14:D22" si="2">ROW()-ROW($D$13)</f>
        <v>1</v>
      </c>
      <c r="E14" s="143" t="s">
        <v>10</v>
      </c>
      <c r="F14" s="362" t="s">
        <v>47</v>
      </c>
      <c r="G14" s="641" t="str">
        <f ca="1">IF(OR($B14="Manual",$B14="SemiAuto"),QCI.DescManual,IF($B14="Automático",INDEX(ORÇAMENTO!$R$15:$R$43,MATCH($A14,ORÇAMENTO!$E$15:$E$43,0)),""))</f>
        <v>RECAPEAMENTO DE VIA PÚBLICA</v>
      </c>
      <c r="H14" s="143" t="s">
        <v>479</v>
      </c>
      <c r="I14" s="640">
        <v>1</v>
      </c>
      <c r="J14" s="363" t="str">
        <f ca="1">IF(AND(ISBLANK(E14),ISBLANK(F14)),"",VLOOKUP($F14,OFFSET(DADOS!$A$2,1,MATCH(QCI!$E14,DADOS!$2:$2,0)-1,100,50),2,FALSE))</f>
        <v>m²</v>
      </c>
      <c r="K14" s="639" t="str">
        <f ca="1">IF(OR($B14="Manual",$B14="SemiAuto"),QCI.LoteManual,IF($B14="Automático",IF(TIPOORCAMENTO="Licitado",Import.CTEF,"LOTE 1"),""))</f>
        <v>LOTE 1</v>
      </c>
      <c r="L14" s="364">
        <f t="shared" ref="L14:L22" ca="1" si="3">ROUND($O14,2)-ROUND($M14,2)-ROUND($N14,2)</f>
        <v>4133.84</v>
      </c>
      <c r="M14" s="365">
        <f t="shared" ref="M14:M22" ca="1" si="4">ROUND($AA14,2)-ROUND($AE14,2)</f>
        <v>0</v>
      </c>
      <c r="N14" s="366">
        <f t="shared" ref="N14:N22" ca="1" si="5">ROUND($AB14,2)</f>
        <v>0</v>
      </c>
      <c r="O14" s="367">
        <f ca="1">IF($B14="Branco",0,IF(OR($B14="Manual",$B14="SemiAuto"),QCI.InvManual,INDEX(ORÇAMENTO!X$15:X$43,MATCH($A14,ORÇAMENTO!$E$15:$E$43,0))))</f>
        <v>4133.84</v>
      </c>
      <c r="P14" s="612"/>
      <c r="R14" s="642"/>
      <c r="T14" s="643"/>
      <c r="U14" s="369"/>
      <c r="V14" s="644" t="s">
        <v>317</v>
      </c>
      <c r="W14" s="370">
        <f t="shared" ref="W14:W22" ca="1" si="6">$O14</f>
        <v>4133.84</v>
      </c>
      <c r="X14" s="371">
        <v>0</v>
      </c>
      <c r="Z14" s="372">
        <f t="shared" ref="Z14:Z22" ca="1" si="7">$O14-$AA14-$AB14</f>
        <v>4133.84</v>
      </c>
      <c r="AA14">
        <f ca="1">IF($B14="Branco",0,IF($B14="Manual",QCI.CPManual,IF($B14="SemiAuto",ROUND(QCI!$AA$3*QCI.InvManual,2),INDEX(ORÇAMENTO!$AA$15:$AA$43,MATCH($A14,ORÇAMENTO!$E$15:$E$43,0)))))</f>
        <v>0</v>
      </c>
      <c r="AB14">
        <f ca="1">IF($B14="Branco",0,IF($B14="Manual",QCI.OutrosManual,IF($B14="SemiAuto",0,INDEX(ORÇAMENTO!$AB$15:$AB$43,MATCH($A14,ORÇAMENTO!$E$15:$E$43,0)))))</f>
        <v>0</v>
      </c>
      <c r="AD14" s="373" t="b">
        <f ca="1">AND($AA$3&gt;0,$AA$3&lt;1,$O14&gt;0,OR($B14="Automático",$B14="SemiAuto"),OR(QCI!$Z$3=QCI!$Z$7,QCI!$Z$3=QCI!$AA$7,QCI!$Z$3=QCI!$AB$7))</f>
        <v>0</v>
      </c>
      <c r="AE14" s="373">
        <f ca="1">IF(AND($AD14,$O14&gt;0,COUNTIF(OFFSET($AD14,1,0):$AD$24,TRUE)=0),CHOOSE(1+LOG(1+2*(QCI!$Z$3=QCI!$Z$7)+4*(QCI!$Z$3=QCI!$AA$7)+8*(QCI!$Z$3=QCI!$AB$7),2),0,$AA$24-ROUND(Import.CPMinPerc*$O$24,2),$AA$24-Import.CPMinAbsoluta,Import.Repasse-$Z$24),0)</f>
        <v>0</v>
      </c>
    </row>
    <row r="15" spans="1:31">
      <c r="A15">
        <f t="shared" ca="1" si="0"/>
        <v>2</v>
      </c>
      <c r="B15" t="str">
        <f ca="1">IF(NOT(ISBLANK(QCI.DescManual)),IF(QCI.Divisao="Calculado","Manual","SemiAuto"),IF(ISERROR(MATCH($A15,ORÇAMENTO!$E$15:$E$43,0)),"Branco","Automático"))</f>
        <v>Branco</v>
      </c>
      <c r="C15" t="str">
        <f t="shared" ca="1" si="1"/>
        <v/>
      </c>
      <c r="D15" s="361">
        <f t="shared" si="2"/>
        <v>2</v>
      </c>
      <c r="E15" s="143"/>
      <c r="F15" s="362"/>
      <c r="G15" s="641" t="str">
        <f ca="1">IF(OR($B15="Manual",$B15="SemiAuto"),QCI.DescManual,IF($B15="Automático",INDEX(ORÇAMENTO!$R$15:$R$43,MATCH($A15,ORÇAMENTO!$E$15:$E$43,0)),""))</f>
        <v/>
      </c>
      <c r="H15" s="143"/>
      <c r="I15" s="640"/>
      <c r="J15" s="363" t="str">
        <f ca="1">IF(AND(ISBLANK(E15),ISBLANK(F15)),"",VLOOKUP($F15,OFFSET(DADOS!$A$2,1,MATCH(QCI!$E15,DADOS!$2:$2,0)-1,100,50),2,FALSE))</f>
        <v/>
      </c>
      <c r="K15" s="639" t="str">
        <f ca="1">IF(OR($B15="Manual",$B15="SemiAuto"),QCI.LoteManual,IF($B15="Automático",IF(TIPOORCAMENTO="Licitado",Import.CTEF,"LOTE 1"),""))</f>
        <v/>
      </c>
      <c r="L15" s="364">
        <f t="shared" ca="1" si="3"/>
        <v>0</v>
      </c>
      <c r="M15" s="365">
        <f t="shared" ca="1" si="4"/>
        <v>0</v>
      </c>
      <c r="N15" s="366">
        <f t="shared" ca="1" si="5"/>
        <v>0</v>
      </c>
      <c r="O15" s="367">
        <f ca="1">IF($B15="Branco",0,IF(OR($B15="Manual",$B15="SemiAuto"),QCI.InvManual,INDEX(ORÇAMENTO!X$15:X$43,MATCH($A15,ORÇAMENTO!$E$15:$E$43,0))))</f>
        <v>0</v>
      </c>
      <c r="P15" s="612"/>
      <c r="R15" s="642"/>
      <c r="T15" s="643"/>
      <c r="U15" s="369"/>
      <c r="V15" s="644" t="s">
        <v>317</v>
      </c>
      <c r="W15" s="370">
        <f t="shared" ca="1" si="6"/>
        <v>0</v>
      </c>
      <c r="X15" s="371">
        <v>0</v>
      </c>
      <c r="Z15" s="372">
        <f t="shared" ca="1" si="7"/>
        <v>0</v>
      </c>
      <c r="AA15">
        <f ca="1">IF($B15="Branco",0,IF($B15="Manual",QCI.CPManual,IF($B15="SemiAuto",ROUND(QCI!$AA$3*QCI.InvManual,2),INDEX(ORÇAMENTO!$AA$15:$AA$43,MATCH($A15,ORÇAMENTO!$E$15:$E$43,0)))))</f>
        <v>0</v>
      </c>
      <c r="AB15">
        <f ca="1">IF($B15="Branco",0,IF($B15="Manual",QCI.OutrosManual,IF($B15="SemiAuto",0,INDEX(ORÇAMENTO!$AB$15:$AB$43,MATCH($A15,ORÇAMENTO!$E$15:$E$43,0)))))</f>
        <v>0</v>
      </c>
      <c r="AD15" s="373" t="b">
        <f ca="1">AND($AA$3&gt;0,$AA$3&lt;1,$O15&gt;0,OR($B15="Automático",$B15="SemiAuto"),OR(QCI!$Z$3=QCI!$Z$7,QCI!$Z$3=QCI!$AA$7,QCI!$Z$3=QCI!$AB$7))</f>
        <v>0</v>
      </c>
      <c r="AE15" s="373">
        <f ca="1">IF(AND($AD15,$O15&gt;0,COUNTIF(OFFSET($AD15,1,0):$AD$24,TRUE)=0),CHOOSE(1+LOG(1+2*(QCI!$Z$3=QCI!$Z$7)+4*(QCI!$Z$3=QCI!$AA$7)+8*(QCI!$Z$3=QCI!$AB$7),2),0,$AA$24-ROUND(Import.CPMinPerc*$O$24,2),$AA$24-Import.CPMinAbsoluta,Import.Repasse-$Z$24),0)</f>
        <v>0</v>
      </c>
    </row>
    <row r="16" spans="1:31">
      <c r="A16">
        <f t="shared" ca="1" si="0"/>
        <v>3</v>
      </c>
      <c r="B16" t="str">
        <f ca="1">IF(NOT(ISBLANK(QCI.DescManual)),IF(QCI.Divisao="Calculado","Manual","SemiAuto"),IF(ISERROR(MATCH($A16,ORÇAMENTO!$E$15:$E$43,0)),"Branco","Automático"))</f>
        <v>Branco</v>
      </c>
      <c r="C16" t="str">
        <f t="shared" ca="1" si="1"/>
        <v/>
      </c>
      <c r="D16" s="361">
        <f t="shared" si="2"/>
        <v>3</v>
      </c>
      <c r="E16" s="143"/>
      <c r="F16" s="362"/>
      <c r="G16" s="641" t="str">
        <f ca="1">IF(OR($B16="Manual",$B16="SemiAuto"),QCI.DescManual,IF($B16="Automático",INDEX(ORÇAMENTO!$R$15:$R$43,MATCH($A16,ORÇAMENTO!$E$15:$E$43,0)),""))</f>
        <v/>
      </c>
      <c r="H16" s="143"/>
      <c r="I16" s="640"/>
      <c r="J16" s="363" t="str">
        <f ca="1">IF(AND(ISBLANK(E16),ISBLANK(F16)),"",VLOOKUP($F16,OFFSET(DADOS!$A$2,1,MATCH(QCI!$E16,DADOS!$2:$2,0)-1,100,50),2,FALSE))</f>
        <v/>
      </c>
      <c r="K16" s="639" t="str">
        <f ca="1">IF(OR($B16="Manual",$B16="SemiAuto"),QCI.LoteManual,IF($B16="Automático",IF(TIPOORCAMENTO="Licitado",Import.CTEF,"LOTE 1"),""))</f>
        <v/>
      </c>
      <c r="L16" s="364">
        <f t="shared" ca="1" si="3"/>
        <v>0</v>
      </c>
      <c r="M16" s="365">
        <f t="shared" ca="1" si="4"/>
        <v>0</v>
      </c>
      <c r="N16" s="366">
        <f t="shared" ca="1" si="5"/>
        <v>0</v>
      </c>
      <c r="O16" s="367">
        <f ca="1">IF($B16="Branco",0,IF(OR($B16="Manual",$B16="SemiAuto"),QCI.InvManual,INDEX(ORÇAMENTO!X$15:X$43,MATCH($A16,ORÇAMENTO!$E$15:$E$43,0))))</f>
        <v>0</v>
      </c>
      <c r="P16" s="612"/>
      <c r="R16" s="642"/>
      <c r="T16" s="643"/>
      <c r="U16" s="369"/>
      <c r="V16" s="644" t="s">
        <v>317</v>
      </c>
      <c r="W16" s="370">
        <f t="shared" ca="1" si="6"/>
        <v>0</v>
      </c>
      <c r="X16" s="371">
        <v>0</v>
      </c>
      <c r="Z16" s="372">
        <f t="shared" ca="1" si="7"/>
        <v>0</v>
      </c>
      <c r="AA16">
        <f ca="1">IF($B16="Branco",0,IF($B16="Manual",QCI.CPManual,IF($B16="SemiAuto",ROUND(QCI!$AA$3*QCI.InvManual,2),INDEX(ORÇAMENTO!$AA$15:$AA$43,MATCH($A16,ORÇAMENTO!$E$15:$E$43,0)))))</f>
        <v>0</v>
      </c>
      <c r="AB16">
        <f ca="1">IF($B16="Branco",0,IF($B16="Manual",QCI.OutrosManual,IF($B16="SemiAuto",0,INDEX(ORÇAMENTO!$AB$15:$AB$43,MATCH($A16,ORÇAMENTO!$E$15:$E$43,0)))))</f>
        <v>0</v>
      </c>
      <c r="AD16" s="373" t="b">
        <f ca="1">AND($AA$3&gt;0,$AA$3&lt;1,$O16&gt;0,OR($B16="Automático",$B16="SemiAuto"),OR(QCI!$Z$3=QCI!$Z$7,QCI!$Z$3=QCI!$AA$7,QCI!$Z$3=QCI!$AB$7))</f>
        <v>0</v>
      </c>
      <c r="AE16" s="373">
        <f ca="1">IF(AND($AD16,$O16&gt;0,COUNTIF(OFFSET($AD16,1,0):$AD$24,TRUE)=0),CHOOSE(1+LOG(1+2*(QCI!$Z$3=QCI!$Z$7)+4*(QCI!$Z$3=QCI!$AA$7)+8*(QCI!$Z$3=QCI!$AB$7),2),0,$AA$24-ROUND(Import.CPMinPerc*$O$24,2),$AA$24-Import.CPMinAbsoluta,Import.Repasse-$Z$24),0)</f>
        <v>0</v>
      </c>
    </row>
    <row r="17" spans="1:31">
      <c r="A17">
        <f t="shared" ca="1" si="0"/>
        <v>4</v>
      </c>
      <c r="B17" t="str">
        <f ca="1">IF(NOT(ISBLANK(QCI.DescManual)),IF(QCI.Divisao="Calculado","Manual","SemiAuto"),IF(ISERROR(MATCH($A17,ORÇAMENTO!$E$15:$E$43,0)),"Branco","Automático"))</f>
        <v>Branco</v>
      </c>
      <c r="C17" t="str">
        <f t="shared" ca="1" si="1"/>
        <v/>
      </c>
      <c r="D17" s="361">
        <f t="shared" si="2"/>
        <v>4</v>
      </c>
      <c r="E17" s="143"/>
      <c r="F17" s="362"/>
      <c r="G17" s="641" t="str">
        <f ca="1">IF(OR($B17="Manual",$B17="SemiAuto"),QCI.DescManual,IF($B17="Automático",INDEX(ORÇAMENTO!$R$15:$R$43,MATCH($A17,ORÇAMENTO!$E$15:$E$43,0)),""))</f>
        <v/>
      </c>
      <c r="H17" s="143"/>
      <c r="I17" s="640"/>
      <c r="J17" s="363" t="str">
        <f ca="1">IF(AND(ISBLANK(E17),ISBLANK(F17)),"",VLOOKUP($F17,OFFSET(DADOS!$A$2,1,MATCH(QCI!$E17,DADOS!$2:$2,0)-1,100,50),2,FALSE))</f>
        <v/>
      </c>
      <c r="K17" s="639" t="str">
        <f ca="1">IF(OR($B17="Manual",$B17="SemiAuto"),QCI.LoteManual,IF($B17="Automático",IF(TIPOORCAMENTO="Licitado",Import.CTEF,"LOTE 1"),""))</f>
        <v/>
      </c>
      <c r="L17" s="364">
        <f t="shared" ca="1" si="3"/>
        <v>0</v>
      </c>
      <c r="M17" s="365">
        <f t="shared" ca="1" si="4"/>
        <v>0</v>
      </c>
      <c r="N17" s="366">
        <f t="shared" ca="1" si="5"/>
        <v>0</v>
      </c>
      <c r="O17" s="367">
        <f ca="1">IF($B17="Branco",0,IF(OR($B17="Manual",$B17="SemiAuto"),QCI.InvManual,INDEX(ORÇAMENTO!X$15:X$43,MATCH($A17,ORÇAMENTO!$E$15:$E$43,0))))</f>
        <v>0</v>
      </c>
      <c r="P17" s="612"/>
      <c r="R17" s="642"/>
      <c r="T17" s="643"/>
      <c r="U17" s="369"/>
      <c r="V17" s="644" t="s">
        <v>317</v>
      </c>
      <c r="W17" s="370">
        <f t="shared" ca="1" si="6"/>
        <v>0</v>
      </c>
      <c r="X17" s="371">
        <v>0</v>
      </c>
      <c r="Z17" s="372">
        <f t="shared" ca="1" si="7"/>
        <v>0</v>
      </c>
      <c r="AA17">
        <f ca="1">IF($B17="Branco",0,IF($B17="Manual",QCI.CPManual,IF($B17="SemiAuto",ROUND(QCI!$AA$3*QCI.InvManual,2),INDEX(ORÇAMENTO!$AA$15:$AA$43,MATCH($A17,ORÇAMENTO!$E$15:$E$43,0)))))</f>
        <v>0</v>
      </c>
      <c r="AB17">
        <f ca="1">IF($B17="Branco",0,IF($B17="Manual",QCI.OutrosManual,IF($B17="SemiAuto",0,INDEX(ORÇAMENTO!$AB$15:$AB$43,MATCH($A17,ORÇAMENTO!$E$15:$E$43,0)))))</f>
        <v>0</v>
      </c>
      <c r="AD17" s="373" t="b">
        <f ca="1">AND($AA$3&gt;0,$AA$3&lt;1,$O17&gt;0,OR($B17="Automático",$B17="SemiAuto"),OR(QCI!$Z$3=QCI!$Z$7,QCI!$Z$3=QCI!$AA$7,QCI!$Z$3=QCI!$AB$7))</f>
        <v>0</v>
      </c>
      <c r="AE17" s="373">
        <f ca="1">IF(AND($AD17,$O17&gt;0,COUNTIF(OFFSET($AD17,1,0):$AD$24,TRUE)=0),CHOOSE(1+LOG(1+2*(QCI!$Z$3=QCI!$Z$7)+4*(QCI!$Z$3=QCI!$AA$7)+8*(QCI!$Z$3=QCI!$AB$7),2),0,$AA$24-ROUND(Import.CPMinPerc*$O$24,2),$AA$24-Import.CPMinAbsoluta,Import.Repasse-$Z$24),0)</f>
        <v>0</v>
      </c>
    </row>
    <row r="18" spans="1:31">
      <c r="A18">
        <f t="shared" ca="1" si="0"/>
        <v>5</v>
      </c>
      <c r="B18" t="str">
        <f ca="1">IF(NOT(ISBLANK(QCI.DescManual)),IF(QCI.Divisao="Calculado","Manual","SemiAuto"),IF(ISERROR(MATCH($A18,ORÇAMENTO!$E$15:$E$43,0)),"Branco","Automático"))</f>
        <v>Branco</v>
      </c>
      <c r="C18" t="str">
        <f t="shared" ca="1" si="1"/>
        <v/>
      </c>
      <c r="D18" s="361">
        <f t="shared" si="2"/>
        <v>5</v>
      </c>
      <c r="E18" s="143"/>
      <c r="F18" s="362"/>
      <c r="G18" s="641" t="str">
        <f ca="1">IF(OR($B18="Manual",$B18="SemiAuto"),QCI.DescManual,IF($B18="Automático",INDEX(ORÇAMENTO!$R$15:$R$43,MATCH($A18,ORÇAMENTO!$E$15:$E$43,0)),""))</f>
        <v/>
      </c>
      <c r="H18" s="143"/>
      <c r="I18" s="640"/>
      <c r="J18" s="363" t="str">
        <f ca="1">IF(AND(ISBLANK(E18),ISBLANK(F18)),"",VLOOKUP($F18,OFFSET(DADOS!$A$2,1,MATCH(QCI!$E18,DADOS!$2:$2,0)-1,100,50),2,FALSE))</f>
        <v/>
      </c>
      <c r="K18" s="639" t="str">
        <f ca="1">IF(OR($B18="Manual",$B18="SemiAuto"),QCI.LoteManual,IF($B18="Automático",IF(TIPOORCAMENTO="Licitado",Import.CTEF,"LOTE 1"),""))</f>
        <v/>
      </c>
      <c r="L18" s="364">
        <f t="shared" ca="1" si="3"/>
        <v>0</v>
      </c>
      <c r="M18" s="365">
        <f t="shared" ca="1" si="4"/>
        <v>0</v>
      </c>
      <c r="N18" s="366">
        <f t="shared" ca="1" si="5"/>
        <v>0</v>
      </c>
      <c r="O18" s="367">
        <f ca="1">IF($B18="Branco",0,IF(OR($B18="Manual",$B18="SemiAuto"),QCI.InvManual,INDEX(ORÇAMENTO!X$15:X$43,MATCH($A18,ORÇAMENTO!$E$15:$E$43,0))))</f>
        <v>0</v>
      </c>
      <c r="P18" s="612"/>
      <c r="R18" s="642"/>
      <c r="T18" s="643"/>
      <c r="U18" s="369"/>
      <c r="V18" s="644" t="s">
        <v>317</v>
      </c>
      <c r="W18" s="370">
        <f t="shared" ca="1" si="6"/>
        <v>0</v>
      </c>
      <c r="X18" s="371">
        <v>0</v>
      </c>
      <c r="Z18" s="372">
        <f t="shared" ca="1" si="7"/>
        <v>0</v>
      </c>
      <c r="AA18">
        <f ca="1">IF($B18="Branco",0,IF($B18="Manual",QCI.CPManual,IF($B18="SemiAuto",ROUND(QCI!$AA$3*QCI.InvManual,2),INDEX(ORÇAMENTO!$AA$15:$AA$43,MATCH($A18,ORÇAMENTO!$E$15:$E$43,0)))))</f>
        <v>0</v>
      </c>
      <c r="AB18">
        <f ca="1">IF($B18="Branco",0,IF($B18="Manual",QCI.OutrosManual,IF($B18="SemiAuto",0,INDEX(ORÇAMENTO!$AB$15:$AB$43,MATCH($A18,ORÇAMENTO!$E$15:$E$43,0)))))</f>
        <v>0</v>
      </c>
      <c r="AD18" s="373" t="b">
        <f ca="1">AND($AA$3&gt;0,$AA$3&lt;1,$O18&gt;0,OR($B18="Automático",$B18="SemiAuto"),OR(QCI!$Z$3=QCI!$Z$7,QCI!$Z$3=QCI!$AA$7,QCI!$Z$3=QCI!$AB$7))</f>
        <v>0</v>
      </c>
      <c r="AE18" s="373">
        <f ca="1">IF(AND($AD18,$O18&gt;0,COUNTIF(OFFSET($AD18,1,0):$AD$24,TRUE)=0),CHOOSE(1+LOG(1+2*(QCI!$Z$3=QCI!$Z$7)+4*(QCI!$Z$3=QCI!$AA$7)+8*(QCI!$Z$3=QCI!$AB$7),2),0,$AA$24-ROUND(Import.CPMinPerc*$O$24,2),$AA$24-Import.CPMinAbsoluta,Import.Repasse-$Z$24),0)</f>
        <v>0</v>
      </c>
    </row>
    <row r="19" spans="1:31">
      <c r="A19">
        <f t="shared" ca="1" si="0"/>
        <v>6</v>
      </c>
      <c r="B19" t="str">
        <f ca="1">IF(NOT(ISBLANK(QCI.DescManual)),IF(QCI.Divisao="Calculado","Manual","SemiAuto"),IF(ISERROR(MATCH($A19,ORÇAMENTO!$E$15:$E$43,0)),"Branco","Automático"))</f>
        <v>Branco</v>
      </c>
      <c r="C19" t="str">
        <f t="shared" ca="1" si="1"/>
        <v/>
      </c>
      <c r="D19" s="361">
        <f t="shared" si="2"/>
        <v>6</v>
      </c>
      <c r="E19" s="143"/>
      <c r="F19" s="362"/>
      <c r="G19" s="641" t="str">
        <f ca="1">IF(OR($B19="Manual",$B19="SemiAuto"),QCI.DescManual,IF($B19="Automático",INDEX(ORÇAMENTO!$R$15:$R$43,MATCH($A19,ORÇAMENTO!$E$15:$E$43,0)),""))</f>
        <v/>
      </c>
      <c r="H19" s="143"/>
      <c r="I19" s="640"/>
      <c r="J19" s="363" t="str">
        <f ca="1">IF(AND(ISBLANK(E19),ISBLANK(F19)),"",VLOOKUP($F19,OFFSET(DADOS!$A$2,1,MATCH(QCI!$E19,DADOS!$2:$2,0)-1,100,50),2,FALSE))</f>
        <v/>
      </c>
      <c r="K19" s="639" t="str">
        <f ca="1">IF(OR($B19="Manual",$B19="SemiAuto"),QCI.LoteManual,IF($B19="Automático",IF(TIPOORCAMENTO="Licitado",Import.CTEF,"LOTE 1"),""))</f>
        <v/>
      </c>
      <c r="L19" s="364">
        <f t="shared" ca="1" si="3"/>
        <v>0</v>
      </c>
      <c r="M19" s="365">
        <f t="shared" ca="1" si="4"/>
        <v>0</v>
      </c>
      <c r="N19" s="366">
        <f t="shared" ca="1" si="5"/>
        <v>0</v>
      </c>
      <c r="O19" s="367">
        <f ca="1">IF($B19="Branco",0,IF(OR($B19="Manual",$B19="SemiAuto"),QCI.InvManual,INDEX(ORÇAMENTO!X$15:X$43,MATCH($A19,ORÇAMENTO!$E$15:$E$43,0))))</f>
        <v>0</v>
      </c>
      <c r="P19" s="612"/>
      <c r="R19" s="642"/>
      <c r="T19" s="643"/>
      <c r="U19" s="369"/>
      <c r="V19" s="644" t="s">
        <v>317</v>
      </c>
      <c r="W19" s="370">
        <f t="shared" ca="1" si="6"/>
        <v>0</v>
      </c>
      <c r="X19" s="371">
        <v>0</v>
      </c>
      <c r="Z19" s="372">
        <f t="shared" ca="1" si="7"/>
        <v>0</v>
      </c>
      <c r="AA19">
        <f ca="1">IF($B19="Branco",0,IF($B19="Manual",QCI.CPManual,IF($B19="SemiAuto",ROUND(QCI!$AA$3*QCI.InvManual,2),INDEX(ORÇAMENTO!$AA$15:$AA$43,MATCH($A19,ORÇAMENTO!$E$15:$E$43,0)))))</f>
        <v>0</v>
      </c>
      <c r="AB19">
        <f ca="1">IF($B19="Branco",0,IF($B19="Manual",QCI.OutrosManual,IF($B19="SemiAuto",0,INDEX(ORÇAMENTO!$AB$15:$AB$43,MATCH($A19,ORÇAMENTO!$E$15:$E$43,0)))))</f>
        <v>0</v>
      </c>
      <c r="AD19" s="373" t="b">
        <f ca="1">AND($AA$3&gt;0,$AA$3&lt;1,$O19&gt;0,OR($B19="Automático",$B19="SemiAuto"),OR(QCI!$Z$3=QCI!$Z$7,QCI!$Z$3=QCI!$AA$7,QCI!$Z$3=QCI!$AB$7))</f>
        <v>0</v>
      </c>
      <c r="AE19" s="373">
        <f ca="1">IF(AND($AD19,$O19&gt;0,COUNTIF(OFFSET($AD19,1,0):$AD$24,TRUE)=0),CHOOSE(1+LOG(1+2*(QCI!$Z$3=QCI!$Z$7)+4*(QCI!$Z$3=QCI!$AA$7)+8*(QCI!$Z$3=QCI!$AB$7),2),0,$AA$24-ROUND(Import.CPMinPerc*$O$24,2),$AA$24-Import.CPMinAbsoluta,Import.Repasse-$Z$24),0)</f>
        <v>0</v>
      </c>
    </row>
    <row r="20" spans="1:31">
      <c r="A20">
        <f t="shared" ca="1" si="0"/>
        <v>7</v>
      </c>
      <c r="B20" t="str">
        <f ca="1">IF(NOT(ISBLANK(QCI.DescManual)),IF(QCI.Divisao="Calculado","Manual","SemiAuto"),IF(ISERROR(MATCH($A20,ORÇAMENTO!$E$15:$E$43,0)),"Branco","Automático"))</f>
        <v>Branco</v>
      </c>
      <c r="C20" t="str">
        <f t="shared" ca="1" si="1"/>
        <v/>
      </c>
      <c r="D20" s="361">
        <f t="shared" si="2"/>
        <v>7</v>
      </c>
      <c r="E20" s="143"/>
      <c r="F20" s="362"/>
      <c r="G20" s="641" t="str">
        <f ca="1">IF(OR($B20="Manual",$B20="SemiAuto"),QCI.DescManual,IF($B20="Automático",INDEX(ORÇAMENTO!$R$15:$R$43,MATCH($A20,ORÇAMENTO!$E$15:$E$43,0)),""))</f>
        <v/>
      </c>
      <c r="H20" s="143"/>
      <c r="I20" s="640"/>
      <c r="J20" s="363" t="str">
        <f ca="1">IF(AND(ISBLANK(E20),ISBLANK(F20)),"",VLOOKUP($F20,OFFSET(DADOS!$A$2,1,MATCH(QCI!$E20,DADOS!$2:$2,0)-1,100,50),2,FALSE))</f>
        <v/>
      </c>
      <c r="K20" s="639" t="str">
        <f ca="1">IF(OR($B20="Manual",$B20="SemiAuto"),QCI.LoteManual,IF($B20="Automático",IF(TIPOORCAMENTO="Licitado",Import.CTEF,"LOTE 1"),""))</f>
        <v/>
      </c>
      <c r="L20" s="364">
        <f t="shared" ca="1" si="3"/>
        <v>0</v>
      </c>
      <c r="M20" s="365">
        <f t="shared" ca="1" si="4"/>
        <v>0</v>
      </c>
      <c r="N20" s="366">
        <f t="shared" ca="1" si="5"/>
        <v>0</v>
      </c>
      <c r="O20" s="367">
        <f ca="1">IF($B20="Branco",0,IF(OR($B20="Manual",$B20="SemiAuto"),QCI.InvManual,INDEX(ORÇAMENTO!X$15:X$43,MATCH($A20,ORÇAMENTO!$E$15:$E$43,0))))</f>
        <v>0</v>
      </c>
      <c r="P20" s="612"/>
      <c r="R20" s="642"/>
      <c r="T20" s="643"/>
      <c r="U20" s="369"/>
      <c r="V20" s="644" t="s">
        <v>317</v>
      </c>
      <c r="W20" s="370">
        <f t="shared" ca="1" si="6"/>
        <v>0</v>
      </c>
      <c r="X20" s="371">
        <v>0</v>
      </c>
      <c r="Z20" s="372">
        <f t="shared" ca="1" si="7"/>
        <v>0</v>
      </c>
      <c r="AA20">
        <f ca="1">IF($B20="Branco",0,IF($B20="Manual",QCI.CPManual,IF($B20="SemiAuto",ROUND(QCI!$AA$3*QCI.InvManual,2),INDEX(ORÇAMENTO!$AA$15:$AA$43,MATCH($A20,ORÇAMENTO!$E$15:$E$43,0)))))</f>
        <v>0</v>
      </c>
      <c r="AB20">
        <f ca="1">IF($B20="Branco",0,IF($B20="Manual",QCI.OutrosManual,IF($B20="SemiAuto",0,INDEX(ORÇAMENTO!$AB$15:$AB$43,MATCH($A20,ORÇAMENTO!$E$15:$E$43,0)))))</f>
        <v>0</v>
      </c>
      <c r="AD20" s="373" t="b">
        <f ca="1">AND($AA$3&gt;0,$AA$3&lt;1,$O20&gt;0,OR($B20="Automático",$B20="SemiAuto"),OR(QCI!$Z$3=QCI!$Z$7,QCI!$Z$3=QCI!$AA$7,QCI!$Z$3=QCI!$AB$7))</f>
        <v>0</v>
      </c>
      <c r="AE20" s="373">
        <f ca="1">IF(AND($AD20,$O20&gt;0,COUNTIF(OFFSET($AD20,1,0):$AD$24,TRUE)=0),CHOOSE(1+LOG(1+2*(QCI!$Z$3=QCI!$Z$7)+4*(QCI!$Z$3=QCI!$AA$7)+8*(QCI!$Z$3=QCI!$AB$7),2),0,$AA$24-ROUND(Import.CPMinPerc*$O$24,2),$AA$24-Import.CPMinAbsoluta,Import.Repasse-$Z$24),0)</f>
        <v>0</v>
      </c>
    </row>
    <row r="21" spans="1:31">
      <c r="A21">
        <f t="shared" ca="1" si="0"/>
        <v>8</v>
      </c>
      <c r="B21" t="str">
        <f ca="1">IF(NOT(ISBLANK(QCI.DescManual)),IF(QCI.Divisao="Calculado","Manual","SemiAuto"),IF(ISERROR(MATCH($A21,ORÇAMENTO!$E$15:$E$43,0)),"Branco","Automático"))</f>
        <v>Branco</v>
      </c>
      <c r="C21" t="str">
        <f t="shared" ca="1" si="1"/>
        <v/>
      </c>
      <c r="D21" s="361">
        <f t="shared" si="2"/>
        <v>8</v>
      </c>
      <c r="E21" s="143"/>
      <c r="F21" s="362"/>
      <c r="G21" s="641" t="str">
        <f ca="1">IF(OR($B21="Manual",$B21="SemiAuto"),QCI.DescManual,IF($B21="Automático",INDEX(ORÇAMENTO!$R$15:$R$43,MATCH($A21,ORÇAMENTO!$E$15:$E$43,0)),""))</f>
        <v/>
      </c>
      <c r="H21" s="143"/>
      <c r="I21" s="640"/>
      <c r="J21" s="363" t="str">
        <f ca="1">IF(AND(ISBLANK(E21),ISBLANK(F21)),"",VLOOKUP($F21,OFFSET(DADOS!$A$2,1,MATCH(QCI!$E21,DADOS!$2:$2,0)-1,100,50),2,FALSE))</f>
        <v/>
      </c>
      <c r="K21" s="639" t="str">
        <f ca="1">IF(OR($B21="Manual",$B21="SemiAuto"),QCI.LoteManual,IF($B21="Automático",IF(TIPOORCAMENTO="Licitado",Import.CTEF,"LOTE 1"),""))</f>
        <v/>
      </c>
      <c r="L21" s="364">
        <f t="shared" ca="1" si="3"/>
        <v>0</v>
      </c>
      <c r="M21" s="365">
        <f t="shared" ca="1" si="4"/>
        <v>0</v>
      </c>
      <c r="N21" s="366">
        <f t="shared" ca="1" si="5"/>
        <v>0</v>
      </c>
      <c r="O21" s="367">
        <f ca="1">IF($B21="Branco",0,IF(OR($B21="Manual",$B21="SemiAuto"),QCI.InvManual,INDEX(ORÇAMENTO!X$15:X$43,MATCH($A21,ORÇAMENTO!$E$15:$E$43,0))))</f>
        <v>0</v>
      </c>
      <c r="P21" s="612"/>
      <c r="R21" s="642"/>
      <c r="T21" s="643"/>
      <c r="U21" s="369"/>
      <c r="V21" s="644" t="s">
        <v>317</v>
      </c>
      <c r="W21" s="370">
        <f t="shared" ca="1" si="6"/>
        <v>0</v>
      </c>
      <c r="X21" s="371">
        <v>0</v>
      </c>
      <c r="Z21" s="372">
        <f t="shared" ca="1" si="7"/>
        <v>0</v>
      </c>
      <c r="AA21">
        <f ca="1">IF($B21="Branco",0,IF($B21="Manual",QCI.CPManual,IF($B21="SemiAuto",ROUND(QCI!$AA$3*QCI.InvManual,2),INDEX(ORÇAMENTO!$AA$15:$AA$43,MATCH($A21,ORÇAMENTO!$E$15:$E$43,0)))))</f>
        <v>0</v>
      </c>
      <c r="AB21">
        <f ca="1">IF($B21="Branco",0,IF($B21="Manual",QCI.OutrosManual,IF($B21="SemiAuto",0,INDEX(ORÇAMENTO!$AB$15:$AB$43,MATCH($A21,ORÇAMENTO!$E$15:$E$43,0)))))</f>
        <v>0</v>
      </c>
      <c r="AD21" s="373" t="b">
        <f ca="1">AND($AA$3&gt;0,$AA$3&lt;1,$O21&gt;0,OR($B21="Automático",$B21="SemiAuto"),OR(QCI!$Z$3=QCI!$Z$7,QCI!$Z$3=QCI!$AA$7,QCI!$Z$3=QCI!$AB$7))</f>
        <v>0</v>
      </c>
      <c r="AE21" s="373">
        <f ca="1">IF(AND($AD21,$O21&gt;0,COUNTIF(OFFSET($AD21,1,0):$AD$24,TRUE)=0),CHOOSE(1+LOG(1+2*(QCI!$Z$3=QCI!$Z$7)+4*(QCI!$Z$3=QCI!$AA$7)+8*(QCI!$Z$3=QCI!$AB$7),2),0,$AA$24-ROUND(Import.CPMinPerc*$O$24,2),$AA$24-Import.CPMinAbsoluta,Import.Repasse-$Z$24),0)</f>
        <v>0</v>
      </c>
    </row>
    <row r="22" spans="1:31">
      <c r="A22">
        <f t="shared" ca="1" si="0"/>
        <v>9</v>
      </c>
      <c r="B22" t="str">
        <f ca="1">IF(NOT(ISBLANK(QCI.DescManual)),IF(QCI.Divisao="Calculado","Manual","SemiAuto"),IF(ISERROR(MATCH($A22,ORÇAMENTO!$E$15:$E$43,0)),"Branco","Automático"))</f>
        <v>Branco</v>
      </c>
      <c r="C22" t="str">
        <f t="shared" ca="1" si="1"/>
        <v/>
      </c>
      <c r="D22" s="361">
        <f t="shared" si="2"/>
        <v>9</v>
      </c>
      <c r="E22" s="143"/>
      <c r="F22" s="362"/>
      <c r="G22" s="641" t="str">
        <f ca="1">IF(OR($B22="Manual",$B22="SemiAuto"),QCI.DescManual,IF($B22="Automático",INDEX(ORÇAMENTO!$R$15:$R$43,MATCH($A22,ORÇAMENTO!$E$15:$E$43,0)),""))</f>
        <v/>
      </c>
      <c r="H22" s="143"/>
      <c r="I22" s="640"/>
      <c r="J22" s="363" t="str">
        <f ca="1">IF(AND(ISBLANK(E22),ISBLANK(F22)),"",VLOOKUP($F22,OFFSET(DADOS!$A$2,1,MATCH(QCI!$E22,DADOS!$2:$2,0)-1,100,50),2,FALSE))</f>
        <v/>
      </c>
      <c r="K22" s="639" t="str">
        <f ca="1">IF(OR($B22="Manual",$B22="SemiAuto"),QCI.LoteManual,IF($B22="Automático",IF(TIPOORCAMENTO="Licitado",Import.CTEF,"LOTE 1"),""))</f>
        <v/>
      </c>
      <c r="L22" s="364">
        <f t="shared" ca="1" si="3"/>
        <v>0</v>
      </c>
      <c r="M22" s="365">
        <f t="shared" ca="1" si="4"/>
        <v>0</v>
      </c>
      <c r="N22" s="366">
        <f t="shared" ca="1" si="5"/>
        <v>0</v>
      </c>
      <c r="O22" s="367">
        <f ca="1">IF($B22="Branco",0,IF(OR($B22="Manual",$B22="SemiAuto"),QCI.InvManual,INDEX(ORÇAMENTO!X$15:X$43,MATCH($A22,ORÇAMENTO!$E$15:$E$43,0))))</f>
        <v>0</v>
      </c>
      <c r="P22" s="612"/>
      <c r="R22" s="642"/>
      <c r="T22" s="643"/>
      <c r="U22" s="369"/>
      <c r="V22" s="644" t="s">
        <v>317</v>
      </c>
      <c r="W22" s="370">
        <f t="shared" ca="1" si="6"/>
        <v>0</v>
      </c>
      <c r="X22" s="371">
        <v>0</v>
      </c>
      <c r="Z22" s="372">
        <f t="shared" ca="1" si="7"/>
        <v>0</v>
      </c>
      <c r="AA22">
        <f ca="1">IF($B22="Branco",0,IF($B22="Manual",QCI.CPManual,IF($B22="SemiAuto",ROUND(QCI!$AA$3*QCI.InvManual,2),INDEX(ORÇAMENTO!$AA$15:$AA$43,MATCH($A22,ORÇAMENTO!$E$15:$E$43,0)))))</f>
        <v>0</v>
      </c>
      <c r="AB22">
        <f ca="1">IF($B22="Branco",0,IF($B22="Manual",QCI.OutrosManual,IF($B22="SemiAuto",0,INDEX(ORÇAMENTO!$AB$15:$AB$43,MATCH($A22,ORÇAMENTO!$E$15:$E$43,0)))))</f>
        <v>0</v>
      </c>
      <c r="AD22" s="373" t="b">
        <f ca="1">AND($AA$3&gt;0,$AA$3&lt;1,$O22&gt;0,OR($B22="Automático",$B22="SemiAuto"),OR(QCI!$Z$3=QCI!$Z$7,QCI!$Z$3=QCI!$AA$7,QCI!$Z$3=QCI!$AB$7))</f>
        <v>0</v>
      </c>
      <c r="AE22" s="373">
        <f ca="1">IF(AND($AD22,$O22&gt;0,COUNTIF(OFFSET($AD22,1,0):$AD$24,TRUE)=0),CHOOSE(1+LOG(1+2*(QCI!$Z$3=QCI!$Z$7)+4*(QCI!$Z$3=QCI!$AA$7)+8*(QCI!$Z$3=QCI!$AB$7),2),0,$AA$24-ROUND(Import.CPMinPerc*$O$24,2),$AA$24-Import.CPMinAbsoluta,Import.Repasse-$Z$24),0)</f>
        <v>0</v>
      </c>
    </row>
    <row r="23" spans="1:31">
      <c r="A23">
        <f t="shared" ca="1" si="0"/>
        <v>10</v>
      </c>
      <c r="B23" t="str">
        <f ca="1">IF(NOT(ISBLANK(QCI.DescManual)),IF(QCI.Divisao="Calculado","Manual","SemiAuto"),IF(ISERROR(MATCH($A23,ORÇAMENTO!$E$15:$E$43,0)),"Branco","Automático"))</f>
        <v>Branco</v>
      </c>
      <c r="C23" t="str">
        <f ca="1">IF(O23&gt;0,"F","")</f>
        <v/>
      </c>
      <c r="D23" s="361">
        <f>ROW()-ROW($D$13)</f>
        <v>10</v>
      </c>
      <c r="E23" s="143"/>
      <c r="F23" s="362"/>
      <c r="G23" s="641" t="str">
        <f ca="1">IF(OR($B23="Manual",$B23="SemiAuto"),QCI.DescManual,IF($B23="Automático",INDEX(ORÇAMENTO!$R$15:$R$43,MATCH($A23,ORÇAMENTO!$E$15:$E$43,0)),""))</f>
        <v/>
      </c>
      <c r="H23" s="143"/>
      <c r="I23" s="640"/>
      <c r="J23" s="363" t="str">
        <f ca="1">IF(AND(ISBLANK(E23),ISBLANK(F23)),"",VLOOKUP($F23,OFFSET(DADOS!$A$2,1,MATCH(QCI!$E23,DADOS!$2:$2,0)-1,100,50),2,FALSE))</f>
        <v/>
      </c>
      <c r="K23" s="639" t="str">
        <f ca="1">IF(OR($B23="Manual",$B23="SemiAuto"),QCI.LoteManual,IF($B23="Automático",IF(TIPOORCAMENTO="Licitado",Import.CTEF,"LOTE 1"),""))</f>
        <v/>
      </c>
      <c r="L23" s="364">
        <f ca="1">ROUND($O23,2)-ROUND($M23,2)-ROUND($N23,2)</f>
        <v>0</v>
      </c>
      <c r="M23" s="365">
        <f ca="1">ROUND($AA23,2)-ROUND($AE23,2)</f>
        <v>0</v>
      </c>
      <c r="N23" s="366">
        <f ca="1">ROUND($AB23,2)</f>
        <v>0</v>
      </c>
      <c r="O23" s="367">
        <f ca="1">IF($B23="Branco",0,IF(OR($B23="Manual",$B23="SemiAuto"),QCI.InvManual,INDEX(ORÇAMENTO!X$15:X$43,MATCH($A23,ORÇAMENTO!$E$15:$E$43,0))))</f>
        <v>0</v>
      </c>
      <c r="P23" s="612"/>
      <c r="R23" s="642"/>
      <c r="T23" s="643"/>
      <c r="U23" s="369"/>
      <c r="V23" s="644" t="s">
        <v>317</v>
      </c>
      <c r="W23" s="370">
        <f ca="1">$O23</f>
        <v>0</v>
      </c>
      <c r="X23" s="371">
        <v>0</v>
      </c>
      <c r="Z23" s="372">
        <f ca="1">$O23-$AA23-$AB23</f>
        <v>0</v>
      </c>
      <c r="AA23">
        <f ca="1">IF($B23="Branco",0,IF($B23="Manual",QCI.CPManual,IF($B23="SemiAuto",ROUND(QCI!$AA$3*QCI.InvManual,2),INDEX(ORÇAMENTO!$AA$15:$AA$43,MATCH($A23,ORÇAMENTO!$E$15:$E$43,0)))))</f>
        <v>0</v>
      </c>
      <c r="AB23">
        <f ca="1">IF($B23="Branco",0,IF($B23="Manual",QCI.OutrosManual,IF($B23="SemiAuto",0,INDEX(ORÇAMENTO!$AB$15:$AB$43,MATCH($A23,ORÇAMENTO!$E$15:$E$43,0)))))</f>
        <v>0</v>
      </c>
      <c r="AD23" s="373" t="b">
        <f ca="1">AND($AA$3&gt;0,$AA$3&lt;1,$O23&gt;0,OR($B23="Automático",$B23="SemiAuto"),OR(QCI!$Z$3=QCI!$Z$7,QCI!$Z$3=QCI!$AA$7,QCI!$Z$3=QCI!$AB$7))</f>
        <v>0</v>
      </c>
      <c r="AE23" s="373">
        <f ca="1">IF(AND($AD23,$O23&gt;0,COUNTIF(OFFSET($AD23,1,0):$AD$24,TRUE)=0),CHOOSE(1+LOG(1+2*(QCI!$Z$3=QCI!$Z$7)+4*(QCI!$Z$3=QCI!$AA$7)+8*(QCI!$Z$3=QCI!$AB$7),2),0,$AA$24-ROUND(Import.CPMinPerc*$O$24,2),$AA$24-Import.CPMinAbsoluta,Import.Repasse-$Z$24),0)</f>
        <v>0</v>
      </c>
    </row>
    <row r="24" spans="1:31" ht="15">
      <c r="B24" t="s">
        <v>327</v>
      </c>
      <c r="C24" t="s">
        <v>246</v>
      </c>
      <c r="D24" s="381"/>
      <c r="E24" s="382"/>
      <c r="F24" s="382"/>
      <c r="G24" s="382"/>
      <c r="H24" s="382"/>
      <c r="I24" s="382"/>
      <c r="J24" s="382"/>
      <c r="K24" s="769" t="s">
        <v>328</v>
      </c>
      <c r="L24" s="383">
        <f ca="1">SUM(L13:OFFSET(L24,-1,0))</f>
        <v>4133.84</v>
      </c>
      <c r="M24" s="384">
        <f ca="1">SUM(M13:OFFSET(M24,-1,0))</f>
        <v>0</v>
      </c>
      <c r="N24" s="385">
        <f ca="1">SUM(N13:OFFSET(N24,-1,0))</f>
        <v>0</v>
      </c>
      <c r="O24" s="386">
        <f ca="1">SUM(O13:OFFSET(O24,-1,0))</f>
        <v>4133.84</v>
      </c>
      <c r="R24" s="387"/>
      <c r="T24" s="388"/>
      <c r="U24" s="389"/>
      <c r="V24" s="390"/>
      <c r="W24" s="391"/>
      <c r="X24" s="392"/>
      <c r="Z24" s="393">
        <f ca="1">SUMPRODUCT(ROUND(Z13:OFFSET(Z24,-1,0),2))</f>
        <v>4133.84</v>
      </c>
      <c r="AA24" s="393">
        <f ca="1">SUMPRODUCT(ROUND(AA13:OFFSET(AA24,-1,0),2))</f>
        <v>0</v>
      </c>
      <c r="AB24" s="393">
        <f ca="1">SUM(AB13:OFFSET(AB24,-1,0))</f>
        <v>0</v>
      </c>
    </row>
    <row r="25" spans="1:31">
      <c r="B25" t="s">
        <v>329</v>
      </c>
      <c r="C25" t="s">
        <v>246</v>
      </c>
      <c r="D25" s="394"/>
      <c r="E25" s="395"/>
      <c r="F25" s="395"/>
      <c r="G25" s="395"/>
      <c r="H25" s="395"/>
      <c r="I25" s="395"/>
      <c r="J25" s="395"/>
      <c r="K25" s="769"/>
      <c r="L25" s="396">
        <f ca="1">IF(ISERROR(L24/$O24),0,ROUND(L24/$O24,4))</f>
        <v>1</v>
      </c>
      <c r="M25" s="397">
        <f ca="1">IF(ISERROR(M24/$O24),0,ROUND(M24/$O24,4))</f>
        <v>0</v>
      </c>
      <c r="N25" s="398">
        <f ca="1">IF(ISERROR(N24/$O24),0,ROUND(N24/$O24,4))</f>
        <v>0</v>
      </c>
      <c r="O25" s="399">
        <f ca="1">IF(ISERROR(O24/$O24),0,ROUND(O24/$O24,4))</f>
        <v>1</v>
      </c>
      <c r="R25" s="400"/>
      <c r="T25" s="401"/>
      <c r="U25" s="402"/>
      <c r="V25" s="403"/>
      <c r="W25" s="404"/>
      <c r="X25" s="405"/>
    </row>
    <row r="27" spans="1:31" ht="14.25">
      <c r="D27" s="166" t="s">
        <v>187</v>
      </c>
      <c r="E27" s="101"/>
      <c r="F27" s="101"/>
      <c r="G27" s="101"/>
      <c r="H27" s="101"/>
      <c r="I27" s="101"/>
      <c r="J27" s="101"/>
      <c r="K27" s="101"/>
      <c r="L27" s="101"/>
      <c r="M27" s="101"/>
    </row>
    <row r="28" spans="1:31" ht="12.75" customHeight="1">
      <c r="D28" s="710"/>
      <c r="E28" s="710"/>
      <c r="F28" s="710"/>
      <c r="G28" s="710"/>
      <c r="H28" s="710"/>
      <c r="I28" s="710"/>
      <c r="J28" s="710"/>
      <c r="K28" s="710"/>
      <c r="L28" s="710"/>
      <c r="M28" s="710"/>
      <c r="N28" s="710"/>
      <c r="O28" s="710"/>
    </row>
    <row r="29" spans="1:31" ht="12.75" customHeight="1">
      <c r="D29" s="710"/>
      <c r="E29" s="710"/>
      <c r="F29" s="710"/>
      <c r="G29" s="710"/>
      <c r="H29" s="710"/>
      <c r="I29" s="710"/>
      <c r="J29" s="710"/>
      <c r="K29" s="710"/>
      <c r="L29" s="710"/>
      <c r="M29" s="710"/>
      <c r="N29" s="710"/>
      <c r="O29" s="710"/>
    </row>
    <row r="30" spans="1:31" ht="12.75" customHeight="1">
      <c r="D30" s="710"/>
      <c r="E30" s="710"/>
      <c r="F30" s="710"/>
      <c r="G30" s="710"/>
      <c r="H30" s="710"/>
      <c r="I30" s="710"/>
      <c r="J30" s="710"/>
      <c r="K30" s="710"/>
      <c r="L30" s="710"/>
      <c r="M30" s="710"/>
      <c r="N30" s="710"/>
      <c r="O30" s="710"/>
    </row>
    <row r="33" spans="4:12" ht="15">
      <c r="D33" s="712" t="str">
        <f>Import.Município</f>
        <v>PAINS/MG</v>
      </c>
      <c r="E33" s="712"/>
      <c r="F33" s="712"/>
      <c r="I33" s="171"/>
      <c r="J33" s="171"/>
      <c r="K33" s="224"/>
      <c r="L33" s="224"/>
    </row>
    <row r="34" spans="4:12">
      <c r="D34" s="12" t="s">
        <v>188</v>
      </c>
      <c r="E34" s="100"/>
      <c r="F34" s="100"/>
      <c r="I34" s="225" t="s">
        <v>330</v>
      </c>
      <c r="J34" s="225"/>
    </row>
    <row r="35" spans="4:12">
      <c r="D35" s="100"/>
      <c r="E35" s="100"/>
      <c r="F35" s="100"/>
      <c r="I35" s="90" t="str">
        <f>"Nome:" &amp;  " " &amp; DADOS!F28</f>
        <v>Nome: MARCO AURÉLIO RABELO GOMES</v>
      </c>
    </row>
    <row r="36" spans="4:12">
      <c r="D36" s="707">
        <f ca="1">DADOS!$F$25</f>
        <v>45609</v>
      </c>
      <c r="E36" s="707"/>
      <c r="F36" s="707"/>
      <c r="I36" s="90" t="str">
        <f>"Cargo:"  &amp; " " &amp; DADOS!F29</f>
        <v>Cargo: PREFEITO MUNICIPAL</v>
      </c>
    </row>
    <row r="37" spans="4:12">
      <c r="D37" s="173" t="s">
        <v>189</v>
      </c>
      <c r="E37" s="174"/>
      <c r="F37" s="174"/>
      <c r="K37" s="90"/>
      <c r="L37" s="91"/>
    </row>
  </sheetData>
  <sheetProtection sheet="1" objects="1" scenarios="1" autoFilter="0"/>
  <autoFilter ref="C13:C25"/>
  <mergeCells count="20">
    <mergeCell ref="D6:K6"/>
    <mergeCell ref="A10:A11"/>
    <mergeCell ref="Z10:AB10"/>
    <mergeCell ref="D36:F36"/>
    <mergeCell ref="D28:O30"/>
    <mergeCell ref="D33:F33"/>
    <mergeCell ref="AD10:AE10"/>
    <mergeCell ref="K24:K25"/>
    <mergeCell ref="C7:C11"/>
    <mergeCell ref="G9:J10"/>
    <mergeCell ref="K9:K10"/>
    <mergeCell ref="AD9:AE9"/>
    <mergeCell ref="D7:K7"/>
    <mergeCell ref="D3:E3"/>
    <mergeCell ref="G3:I3"/>
    <mergeCell ref="J3:L3"/>
    <mergeCell ref="M3:O4"/>
    <mergeCell ref="D4:E4"/>
    <mergeCell ref="G4:I4"/>
    <mergeCell ref="J4:L4"/>
  </mergeCells>
  <phoneticPr fontId="37" type="noConversion"/>
  <conditionalFormatting sqref="T12:V12">
    <cfRule type="expression" dxfId="32" priority="157" stopIfTrue="1">
      <formula>OR($B12="Automático",$B12="Branco")</formula>
    </cfRule>
  </conditionalFormatting>
  <conditionalFormatting sqref="L12">
    <cfRule type="expression" dxfId="31" priority="158" stopIfTrue="1">
      <formula>OR(L12&lt;0,AND(L$13="Contrapartida Financeira (R$)",$B12="T%",OR(L12&lt;Import.CPMinPerc,AND(L12&gt;Import.CPMaxPerc,Import.CPMaxPerc&gt;0))),AND(L$13="Contrapartida Financeira (R$)",$B12="TR$",L12&lt;Import.CPMinAbsoluta))</formula>
    </cfRule>
  </conditionalFormatting>
  <conditionalFormatting sqref="W12:X12">
    <cfRule type="expression" dxfId="30" priority="159" stopIfTrue="1">
      <formula>OR($B12="Automático",$B12="Branco",$V12&lt;&gt;"Calculado")</formula>
    </cfRule>
  </conditionalFormatting>
  <conditionalFormatting sqref="M25">
    <cfRule type="expression" dxfId="29" priority="161" stopIfTrue="1">
      <formula>AND($G$9&lt;&gt;"",OR($M$25&lt;Import.CPMinPerc,$M$25&gt;Import.CPMaxPerc))</formula>
    </cfRule>
  </conditionalFormatting>
  <conditionalFormatting sqref="M24">
    <cfRule type="expression" dxfId="28" priority="162" stopIfTrue="1">
      <formula>AND($G$9&lt;&gt;"",$M$24&lt;Import.CPMinAbsoluta)</formula>
    </cfRule>
  </conditionalFormatting>
  <conditionalFormatting sqref="L10:M10">
    <cfRule type="cellIs" dxfId="27" priority="163" stopIfTrue="1" operator="lessThan">
      <formula>0</formula>
    </cfRule>
  </conditionalFormatting>
  <conditionalFormatting sqref="G12">
    <cfRule type="cellIs" dxfId="26" priority="164" stopIfTrue="1" operator="equal">
      <formula>"(digite a descrição aqui)"</formula>
    </cfRule>
  </conditionalFormatting>
  <conditionalFormatting sqref="T14:V22">
    <cfRule type="expression" dxfId="25" priority="5" stopIfTrue="1">
      <formula>OR($B14="Automático",$B14="Branco")</formula>
    </cfRule>
  </conditionalFormatting>
  <conditionalFormatting sqref="L14:L22">
    <cfRule type="expression" dxfId="24" priority="6" stopIfTrue="1">
      <formula>OR(L14&lt;0,AND(L$13="Contrapartida Financeira (R$)",$B14="T%",OR(L14&lt;Import.CPMinPerc,AND(L14&gt;Import.CPMaxPerc,Import.CPMaxPerc&gt;0))),AND(L$13="Contrapartida Financeira (R$)",$B14="TR$",L14&lt;Import.CPMinAbsoluta))</formula>
    </cfRule>
  </conditionalFormatting>
  <conditionalFormatting sqref="W14:X22">
    <cfRule type="expression" dxfId="23" priority="7" stopIfTrue="1">
      <formula>OR($B14="Automático",$B14="Branco",$V14&lt;&gt;"Calculado")</formula>
    </cfRule>
  </conditionalFormatting>
  <conditionalFormatting sqref="G14:G22">
    <cfRule type="cellIs" dxfId="22" priority="8" stopIfTrue="1" operator="equal">
      <formula>"(digite a descrição aqui)"</formula>
    </cfRule>
  </conditionalFormatting>
  <conditionalFormatting sqref="T23:V23">
    <cfRule type="expression" dxfId="21" priority="1" stopIfTrue="1">
      <formula>OR($B23="Automático",$B23="Branco")</formula>
    </cfRule>
  </conditionalFormatting>
  <conditionalFormatting sqref="L23">
    <cfRule type="expression" dxfId="20" priority="2" stopIfTrue="1">
      <formula>OR(L23&lt;0,AND(L$13="Contrapartida Financeira (R$)",$B23="T%",OR(L23&lt;Import.CPMinPerc,AND(L23&gt;Import.CPMaxPerc,Import.CPMaxPerc&gt;0))),AND(L$13="Contrapartida Financeira (R$)",$B23="TR$",L23&lt;Import.CPMinAbsoluta))</formula>
    </cfRule>
  </conditionalFormatting>
  <conditionalFormatting sqref="W23:X23">
    <cfRule type="expression" dxfId="19" priority="3" stopIfTrue="1">
      <formula>OR($B23="Automático",$B23="Branco",$V23&lt;&gt;"Calculado")</formula>
    </cfRule>
  </conditionalFormatting>
  <conditionalFormatting sqref="G23">
    <cfRule type="cellIs" dxfId="18" priority="4" stopIfTrue="1" operator="equal">
      <formula>"(digite a descrição aqui)"</formula>
    </cfRule>
  </conditionalFormatting>
  <dataValidations count="9">
    <dataValidation type="decimal" operator="greaterThan" allowBlank="1" showErrorMessage="1" error="Digite apenas números decimais maiores do que 0." sqref="U12 U14:U23">
      <formula1>0</formula1>
      <formula2>0</formula2>
    </dataValidation>
    <dataValidation type="list" allowBlank="1" sqref="E12 E14:E23">
      <formula1>QCI.ItemInvestimento</formula1>
      <formula2>0</formula2>
    </dataValidation>
    <dataValidation type="list" allowBlank="1" sqref="F12 F14:F23">
      <formula1>QCI.SubItemInvestimento</formula1>
      <formula2>0</formula2>
    </dataValidation>
    <dataValidation type="list" allowBlank="1" sqref="H12 H14:H23">
      <formula1>"Sem Projeto,Em Análise,Análise Concluída / A Licitar,Licitado / Em Execução,Concluído"</formula1>
      <formula2>0</formula2>
    </dataValidation>
    <dataValidation type="decimal" operator="greaterThan" allowBlank="1" showErrorMessage="1" errorTitle="Erro" error="Digite valores maiores do que 0." sqref="I12 I14:I23">
      <formula1>0</formula1>
      <formula2>0</formula2>
    </dataValidation>
    <dataValidation type="list" allowBlank="1" showErrorMessage="1" sqref="V12 V14:V23">
      <formula1>"Proporcional,Calculado"</formula1>
      <formula2>0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inanceira:" prompt="Digite o valor de Contrapartida Financeira para esta Meta." sqref="W12 W14:W23">
      <formula1>0</formula1>
      <formula2>QCI.MaxCPManual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ísica / Outros:" prompt="Digite o valor de Contrapartida Física / Outros para esta Meta." sqref="X12 X14:X23">
      <formula1>0</formula1>
      <formula2>QCI.MaxOUManual</formula2>
    </dataValidation>
    <dataValidation allowBlank="1" showInputMessage="1" showErrorMessage="1" prompt="Preencha somente se a meta não fizer parte do Orçamento desta Plan. Mult." sqref="R12 R14:R23"/>
  </dataValidations>
  <pageMargins left="0.78740157480314998" right="0.78740157480314998" top="0.78740157480314998" bottom="0.78740157480314998" header="0.59055118110236204" footer="0.59055118110236204"/>
  <pageSetup paperSize="9" scale="62" firstPageNumber="0" fitToHeight="0" orientation="landscape" horizontalDpi="300" verticalDpi="300" r:id="rId1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Plan13">
    <pageSetUpPr fitToPage="1"/>
  </sheetPr>
  <dimension ref="A1:AO58"/>
  <sheetViews>
    <sheetView showGridLines="0" topLeftCell="C1" zoomScale="90" zoomScaleNormal="90" zoomScaleSheetLayoutView="90" workbookViewId="0">
      <pane xSplit="5" ySplit="15" topLeftCell="H16" activePane="bottomRight" state="frozen"/>
      <selection activeCell="C1" sqref="C1"/>
      <selection pane="topRight" activeCell="H1" sqref="H1"/>
      <selection pane="bottomLeft" activeCell="C16" sqref="C16"/>
      <selection pane="bottomRight" activeCell="A23" sqref="A23"/>
    </sheetView>
  </sheetViews>
  <sheetFormatPr defaultRowHeight="12.75"/>
  <cols>
    <col min="1" max="2" width="6.7109375" hidden="1" customWidth="1"/>
    <col min="3" max="3" width="3.7109375" customWidth="1"/>
    <col min="4" max="4" width="10.7109375" customWidth="1"/>
    <col min="5" max="5" width="65.7109375" customWidth="1"/>
    <col min="6" max="6" width="7.7109375" customWidth="1"/>
    <col min="7" max="7" width="11.7109375" customWidth="1"/>
    <col min="8" max="8" width="14.7109375" customWidth="1"/>
    <col min="9" max="9" width="18.7109375" customWidth="1"/>
    <col min="10" max="12" width="11.7109375" customWidth="1"/>
    <col min="13" max="15" width="18.7109375" customWidth="1"/>
    <col min="17" max="18" width="11.7109375" hidden="1" customWidth="1"/>
    <col min="19" max="19" width="9.140625" hidden="1" customWidth="1"/>
    <col min="20" max="20" width="10.7109375" hidden="1" customWidth="1"/>
    <col min="21" max="21" width="65.7109375" hidden="1" customWidth="1"/>
    <col min="22" max="22" width="7.7109375" hidden="1" customWidth="1"/>
    <col min="23" max="23" width="11.7109375" hidden="1" customWidth="1"/>
    <col min="24" max="24" width="14.7109375" hidden="1" customWidth="1"/>
    <col min="25" max="25" width="18.7109375" hidden="1" customWidth="1"/>
    <col min="26" max="26" width="25.7109375" hidden="1" customWidth="1"/>
    <col min="27" max="27" width="0" hidden="1" customWidth="1"/>
    <col min="28" max="39" width="11.7109375" customWidth="1"/>
    <col min="40" max="40" width="10.42578125" customWidth="1"/>
    <col min="41" max="41" width="9.140625" hidden="1" customWidth="1"/>
  </cols>
  <sheetData>
    <row r="1" spans="1:41" ht="15.75">
      <c r="C1" s="95"/>
      <c r="D1" s="95"/>
      <c r="E1" s="406" t="str">
        <f>IF(CAIXA.Modo,"BA - Boletim de Aferição","BM - Boletim de Medição")</f>
        <v>BM - Boletim de Medição</v>
      </c>
      <c r="F1" s="95"/>
      <c r="G1" s="407"/>
      <c r="H1" s="95"/>
      <c r="J1" s="407"/>
      <c r="K1" s="407"/>
      <c r="L1" s="407"/>
      <c r="M1" s="407"/>
      <c r="N1" s="407"/>
      <c r="O1" s="64" t="s">
        <v>140</v>
      </c>
    </row>
    <row r="2" spans="1:41" ht="15">
      <c r="A2" s="408" t="s">
        <v>331</v>
      </c>
      <c r="B2" s="409"/>
      <c r="C2" s="100"/>
      <c r="D2" s="100"/>
      <c r="E2" s="410" t="str">
        <f ca="1">IF(Import.RegimeExecução="(SELECIONAR)","Selecione o Regime de Execução na Aba Dados",Import.RegimeExecução&amp;" - "&amp;import.recurso)</f>
        <v>Selecione o Regime de Execução na Aba Dados</v>
      </c>
      <c r="F2" s="100"/>
      <c r="G2" s="100"/>
      <c r="H2" s="100"/>
      <c r="J2" s="100"/>
      <c r="K2" s="100"/>
      <c r="L2" s="100"/>
      <c r="M2" s="100"/>
      <c r="N2" s="100"/>
      <c r="O2" s="14" t="s">
        <v>143</v>
      </c>
    </row>
    <row r="3" spans="1:41">
      <c r="A3" s="773" t="b">
        <v>0</v>
      </c>
      <c r="B3" s="773"/>
      <c r="C3" s="100"/>
      <c r="D3" s="100"/>
      <c r="E3" s="105"/>
      <c r="F3" s="100"/>
      <c r="G3" s="100"/>
      <c r="H3" s="100"/>
      <c r="I3" s="100"/>
      <c r="J3" s="100"/>
      <c r="K3" s="100"/>
      <c r="L3" s="100"/>
      <c r="M3" s="100"/>
      <c r="N3" s="100"/>
      <c r="O3" s="100"/>
    </row>
    <row r="4" spans="1:41">
      <c r="C4" s="100"/>
      <c r="D4" s="680" t="s">
        <v>147</v>
      </c>
      <c r="E4" s="680"/>
      <c r="F4" s="717" t="s">
        <v>146</v>
      </c>
      <c r="G4" s="717"/>
      <c r="H4" s="717"/>
      <c r="I4" s="179" t="s">
        <v>442</v>
      </c>
      <c r="J4" s="680" t="s">
        <v>202</v>
      </c>
      <c r="K4" s="680"/>
      <c r="L4" s="680"/>
      <c r="M4" s="680"/>
      <c r="N4" s="680"/>
      <c r="O4" s="181" t="s">
        <v>332</v>
      </c>
    </row>
    <row r="5" spans="1:41" ht="12.75" customHeight="1">
      <c r="A5" t="s">
        <v>333</v>
      </c>
      <c r="C5" s="100"/>
      <c r="D5" s="677" t="str">
        <f>Import.Proponente</f>
        <v>MUNICÍPIO DE PAINS</v>
      </c>
      <c r="E5" s="677"/>
      <c r="F5" s="715" t="str">
        <f>Import.CR</f>
        <v>17405-2024</v>
      </c>
      <c r="G5" s="715"/>
      <c r="H5" s="715"/>
      <c r="I5" s="411" t="str">
        <f>Import.TransfereGOV</f>
        <v>965783/2024</v>
      </c>
      <c r="J5" s="677" t="str">
        <f>Import.Apelido</f>
        <v>RECAPEAMENTO DE VIA PÚBLICA</v>
      </c>
      <c r="K5" s="677"/>
      <c r="L5" s="677"/>
      <c r="M5" s="677"/>
      <c r="N5" s="677"/>
      <c r="O5" s="412">
        <f>Import.DataInicioObra</f>
        <v>0</v>
      </c>
      <c r="AO5" s="413" t="s">
        <v>334</v>
      </c>
    </row>
    <row r="6" spans="1:41" ht="5.0999999999999996" customHeight="1">
      <c r="C6" s="100"/>
      <c r="D6" s="117"/>
      <c r="E6" s="118"/>
      <c r="F6" s="117"/>
      <c r="G6" s="117"/>
      <c r="H6" s="117"/>
      <c r="I6" s="117"/>
      <c r="J6" s="117"/>
      <c r="K6" s="117"/>
      <c r="L6" s="117"/>
      <c r="M6" s="117"/>
      <c r="N6" s="117"/>
      <c r="O6" s="117"/>
      <c r="AO6" s="414"/>
    </row>
    <row r="7" spans="1:41" ht="12.75" customHeight="1">
      <c r="A7" t="str">
        <f ca="1">RegimeExecucao</f>
        <v>Unitário</v>
      </c>
      <c r="C7" s="100"/>
      <c r="D7" s="107" t="s">
        <v>335</v>
      </c>
      <c r="E7" s="107" t="s">
        <v>336</v>
      </c>
      <c r="F7" s="680" t="s">
        <v>337</v>
      </c>
      <c r="G7" s="680"/>
      <c r="H7" s="680"/>
      <c r="I7" s="680" t="str">
        <f>IF(TIPOORCAMENTO="Licitado","REGIME DE EXECUÇÃO","MUNICÍPIO / UF")</f>
        <v>MUNICÍPIO / UF</v>
      </c>
      <c r="J7" s="680"/>
      <c r="K7" s="680"/>
      <c r="L7" s="680"/>
      <c r="M7" s="680" t="s">
        <v>338</v>
      </c>
      <c r="N7" s="680"/>
      <c r="O7" s="107" t="s">
        <v>339</v>
      </c>
      <c r="AO7" s="355">
        <f ca="1">BM.MEDAcumulado</f>
        <v>0</v>
      </c>
    </row>
    <row r="8" spans="1:41" ht="12.75" customHeight="1">
      <c r="A8" s="408" t="s">
        <v>340</v>
      </c>
      <c r="B8" s="409"/>
      <c r="C8" s="706" t="s">
        <v>209</v>
      </c>
      <c r="D8" s="415">
        <f>Import.CTEF</f>
        <v>0</v>
      </c>
      <c r="E8" s="68">
        <f>Import.empresa</f>
        <v>0</v>
      </c>
      <c r="F8" s="677">
        <f>Import.CNPJ</f>
        <v>0</v>
      </c>
      <c r="G8" s="677"/>
      <c r="H8" s="677"/>
      <c r="I8" s="677" t="str">
        <f>IF(TIPOORCAMENTO="Licitado",Import.RegimeExecução,Import.Município)</f>
        <v>PAINS/MG</v>
      </c>
      <c r="J8" s="677"/>
      <c r="K8" s="677"/>
      <c r="L8" s="677"/>
      <c r="M8" s="677" t="str">
        <f ca="1">TEXT(IF(BM.medicao=1,Import.DataInicioObra,OFFSET($AB$12,0,BM.medicao-1-$AB$13)+1),"dd/mm/aaaa")&amp;" a "&amp;TEXT(OFFSET($AB$12,0,BM.medicao-$AB$13),"dd/mm/aaaa")</f>
        <v>00/01/1900 a 00/01/1900</v>
      </c>
      <c r="N8" s="677"/>
      <c r="O8" s="565">
        <v>1</v>
      </c>
    </row>
    <row r="9" spans="1:41" ht="12.75" customHeight="1">
      <c r="A9" s="611" t="b">
        <v>1</v>
      </c>
      <c r="B9" s="50"/>
      <c r="C9" s="706"/>
      <c r="D9" s="16"/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</row>
    <row r="10" spans="1:41">
      <c r="C10" s="706"/>
      <c r="D10" s="16"/>
      <c r="E10" s="774" t="str">
        <f>IF(ACOMPANHAMENTO="PLE","Foi selecionado na aba 'MENU' o acompanhamento por PLE.",IF(TIPOORCAMENTO="Proposto","Altere na aba 'MENU' o tipo de orçamento para 'Licitado'.",""))</f>
        <v>Altere na aba 'MENU' o tipo de orçamento para 'Licitado'.</v>
      </c>
      <c r="F10" s="774"/>
      <c r="G10" s="774"/>
      <c r="H10" s="774"/>
      <c r="I10" s="774"/>
      <c r="J10" s="100"/>
      <c r="K10" s="100"/>
      <c r="L10" s="100"/>
      <c r="N10" s="775" t="str">
        <f ca="1">"Realizado Acumulado: "&amp;TEXT(ROUND($O$15/($I$15+10^-12),4),"0,00%")</f>
        <v>Realizado Acumulado: 0,00%</v>
      </c>
      <c r="O10" s="775"/>
    </row>
    <row r="11" spans="1:41" ht="15" customHeight="1">
      <c r="C11" s="706"/>
      <c r="D11" s="100"/>
      <c r="E11" s="774"/>
      <c r="F11" s="774"/>
      <c r="G11" s="774"/>
      <c r="H11" s="774"/>
      <c r="I11" s="774"/>
      <c r="J11" s="100"/>
      <c r="K11" s="100"/>
      <c r="L11" s="100"/>
      <c r="M11" s="100"/>
      <c r="N11" s="775"/>
      <c r="O11" s="775"/>
      <c r="T11" s="779" t="s">
        <v>341</v>
      </c>
      <c r="U11" s="779"/>
      <c r="V11" s="96"/>
      <c r="W11" s="96"/>
      <c r="X11" s="96"/>
      <c r="Y11" s="96"/>
      <c r="Z11" s="55"/>
      <c r="AB11" s="776" t="s">
        <v>342</v>
      </c>
      <c r="AC11" s="776"/>
      <c r="AD11" s="776"/>
      <c r="AE11" s="776"/>
      <c r="AF11" s="776"/>
      <c r="AG11" s="776"/>
      <c r="AH11" s="776"/>
      <c r="AI11" s="776"/>
      <c r="AJ11" s="776"/>
      <c r="AK11" s="776"/>
      <c r="AL11" s="776"/>
      <c r="AM11" s="776"/>
    </row>
    <row r="12" spans="1:41" ht="15" customHeight="1">
      <c r="C12" s="706"/>
      <c r="D12" s="100"/>
      <c r="E12" s="195" t="s">
        <v>343</v>
      </c>
      <c r="F12" s="100"/>
      <c r="G12" s="100"/>
      <c r="H12" s="100"/>
      <c r="I12" s="100"/>
      <c r="J12" s="777" t="str">
        <f ca="1">"Evolução Física "&amp;CHOOSE(MATCH(RegimeExecucao,{"Unitário","Global"},0),"(Qtde.)","(%)")</f>
        <v>Evolução Física (Qtde.)</v>
      </c>
      <c r="K12" s="777"/>
      <c r="L12" s="777"/>
      <c r="M12" s="777" t="s">
        <v>344</v>
      </c>
      <c r="N12" s="777"/>
      <c r="O12" s="777"/>
      <c r="Q12" s="778" t="str">
        <f ca="1">"Aferido (CAIXA) "&amp;CHOOSE(MATCH(RegimeExecucao,{"Unitário","Global"},0),"(Qtde.)","(%)")</f>
        <v>Aferido (CAIXA) (Qtde.)</v>
      </c>
      <c r="R12" s="778"/>
      <c r="T12" s="416" t="s">
        <v>345</v>
      </c>
      <c r="U12" s="224"/>
      <c r="V12" s="224"/>
      <c r="W12" s="224"/>
      <c r="X12" s="224"/>
      <c r="Y12" s="224"/>
      <c r="Z12" s="50"/>
      <c r="AB12" s="417"/>
      <c r="AC12" s="418"/>
      <c r="AD12" s="418"/>
      <c r="AE12" s="418"/>
      <c r="AF12" s="418"/>
      <c r="AG12" s="418"/>
      <c r="AH12" s="418"/>
      <c r="AI12" s="418"/>
      <c r="AJ12" s="418"/>
      <c r="AK12" s="418"/>
      <c r="AL12" s="418"/>
      <c r="AM12" s="419"/>
    </row>
    <row r="13" spans="1:41" ht="45" customHeight="1">
      <c r="A13" s="132" t="s">
        <v>222</v>
      </c>
      <c r="B13" s="132" t="s">
        <v>221</v>
      </c>
      <c r="C13" s="131" t="s">
        <v>217</v>
      </c>
      <c r="D13" s="379" t="s">
        <v>231</v>
      </c>
      <c r="E13" s="379" t="s">
        <v>234</v>
      </c>
      <c r="F13" s="420" t="s">
        <v>235</v>
      </c>
      <c r="G13" s="379" t="s">
        <v>203</v>
      </c>
      <c r="H13" s="379" t="s">
        <v>236</v>
      </c>
      <c r="I13" s="379" t="s">
        <v>237</v>
      </c>
      <c r="J13" s="379" t="s">
        <v>346</v>
      </c>
      <c r="K13" s="379" t="s">
        <v>347</v>
      </c>
      <c r="L13" s="379" t="s">
        <v>348</v>
      </c>
      <c r="M13" s="379" t="s">
        <v>346</v>
      </c>
      <c r="N13" s="379" t="s">
        <v>347</v>
      </c>
      <c r="O13" s="379" t="s">
        <v>348</v>
      </c>
      <c r="Q13" s="379" t="s">
        <v>346</v>
      </c>
      <c r="R13" s="379" t="s">
        <v>348</v>
      </c>
      <c r="T13" s="379" t="s">
        <v>231</v>
      </c>
      <c r="U13" s="379" t="s">
        <v>234</v>
      </c>
      <c r="V13" s="420" t="str">
        <f ca="1">IF(RegimeExecucao="Unitário","Unidade","")</f>
        <v>Unidade</v>
      </c>
      <c r="W13" s="379" t="str">
        <f ca="1">CHOOSE(MATCH(RegimeExecucao,{"Unitário","Global"},0),"Quant. Glosada (unid)","Percentual Glosado (%)")</f>
        <v>Quant. Glosada (unid)</v>
      </c>
      <c r="X13" s="379" t="str">
        <f ca="1">CHOOSE(MATCH(RegimeExecucao,{"Unitário","Global"},0),"Preço Unitário (R$)","Valor Total do Item (R$)")</f>
        <v>Preço Unitário (R$)</v>
      </c>
      <c r="Y13" s="379" t="s">
        <v>349</v>
      </c>
      <c r="Z13" s="379" t="s">
        <v>350</v>
      </c>
      <c r="AA13" s="421"/>
      <c r="AB13" s="422">
        <f ca="1">IF(BM.medicao&lt;=12,1,TRUNC((BM.medicao - 2)/11,0) * 11 + 1)</f>
        <v>1</v>
      </c>
      <c r="AC13" s="422">
        <f ca="1">OFFSET(AC13,0,-1)+1</f>
        <v>2</v>
      </c>
      <c r="AD13" s="422">
        <f t="shared" ref="AD13:AM13" ca="1" si="0">OFFSET(AD13,0,-1)+1</f>
        <v>3</v>
      </c>
      <c r="AE13" s="422">
        <f t="shared" ca="1" si="0"/>
        <v>4</v>
      </c>
      <c r="AF13" s="422">
        <f t="shared" ca="1" si="0"/>
        <v>5</v>
      </c>
      <c r="AG13" s="422">
        <f t="shared" ca="1" si="0"/>
        <v>6</v>
      </c>
      <c r="AH13" s="422">
        <f t="shared" ca="1" si="0"/>
        <v>7</v>
      </c>
      <c r="AI13" s="422">
        <f t="shared" ca="1" si="0"/>
        <v>8</v>
      </c>
      <c r="AJ13" s="422">
        <f t="shared" ca="1" si="0"/>
        <v>9</v>
      </c>
      <c r="AK13" s="422">
        <f t="shared" ca="1" si="0"/>
        <v>10</v>
      </c>
      <c r="AL13" s="422">
        <f t="shared" ca="1" si="0"/>
        <v>11</v>
      </c>
      <c r="AM13" s="422">
        <f t="shared" ca="1" si="0"/>
        <v>12</v>
      </c>
      <c r="AO13" s="132" t="s">
        <v>351</v>
      </c>
    </row>
    <row r="14" spans="1:41" hidden="1">
      <c r="A14" t="str">
        <f ca="1">ORÇAMENTO!C14</f>
        <v>S</v>
      </c>
      <c r="B14">
        <f ca="1">ORÇAMENTO!D14</f>
        <v>0</v>
      </c>
      <c r="C14" s="139" t="str">
        <f ca="1">IF(OR($I14&gt;0,$A14=1,$A14=2,$A14=3,$A14=4),"F","")</f>
        <v/>
      </c>
      <c r="D14" s="142" t="str">
        <f ca="1">ORÇAMENTO!O14</f>
        <v>-</v>
      </c>
      <c r="E14" s="202" t="str">
        <f ca="1">ORÇAMENTO.Descricao</f>
        <v>(abra o arquivo 'Referência 07-2024.xlsm)</v>
      </c>
      <c r="F14" s="203" t="str">
        <f ca="1">IF(RegimeExecucao="Global","",ORÇAMENTO.Unidade)</f>
        <v>-</v>
      </c>
      <c r="G14" s="147">
        <f ca="1">IF(RegimeExecucao="Global","",ORÇAMENTO!T14)</f>
        <v>0</v>
      </c>
      <c r="H14" s="147">
        <f ca="1">IF(RegimeExecucao="Global","",ORÇAMENTO!W14)</f>
        <v>0</v>
      </c>
      <c r="I14" s="150">
        <f ca="1">ORÇAMENTO!X14</f>
        <v>0</v>
      </c>
      <c r="J14" s="423">
        <f ca="1">IF($A14="S",IF(CAIXA.Modo,BM.AFAnterior,BM.MEDAnterior),IF(AND(RegimeExecucao="Global",$I14&gt;0,COUNTIF($AB$13:$AM$13,BM.medicao-1)&gt;0),M14/$I14*100,0))</f>
        <v>0</v>
      </c>
      <c r="K14" s="147">
        <f ca="1">L14-J14</f>
        <v>0</v>
      </c>
      <c r="L14" s="424">
        <f ca="1">IF($A14="S",IF(CAIXA.Modo,BM.AFAcumulado,BM.MEDAcumulado),IF(AND(RegimeExecucao="Global",$I14&gt;0,COUNTIF($AB$13:$AM$13,BM.medicao)&gt;0),O14/$I14*100,0))</f>
        <v>0</v>
      </c>
      <c r="M14" s="425">
        <f ca="1">IF($A14="S",VTOTALBM,IF($A14=0,0,ROUND(SomaAgrupBM,15-13*ORÇAMENTO!$AF$11)))</f>
        <v>0</v>
      </c>
      <c r="N14" s="426">
        <f ca="1">O14-M14</f>
        <v>0</v>
      </c>
      <c r="O14" s="150">
        <f ca="1">IF($A14="S",VTOTALBM,IF($A14=0,0,ROUND(SomaAgrupBM,15-13*ORÇAMENTO!$AF$11)))</f>
        <v>0</v>
      </c>
      <c r="Q14" s="427"/>
      <c r="R14" s="428"/>
      <c r="T14" s="142" t="str">
        <f ca="1">IF($W14&gt;0,$D14,"")</f>
        <v/>
      </c>
      <c r="U14" s="202" t="str">
        <f ca="1">IF($W14&gt;0,$E14,"")</f>
        <v/>
      </c>
      <c r="V14" s="203" t="str">
        <f ca="1">IF(AND($W14&gt;0,RegimeExecucao="Unitário"),$F14,"")</f>
        <v/>
      </c>
      <c r="W14" s="629">
        <f ca="1">IF($Y14&gt;0,CHOOSE(MATCH(RegimeExecucao,{"Unitário","Global"},0),IF($A14="S",$Y14/$X14,""),($Y14/$X14)*100),0)</f>
        <v>0</v>
      </c>
      <c r="X14" s="429" t="str">
        <f ca="1">IF($Y14&gt;0,CHOOSE(MATCH(RegimeExecucao,{"Unitário","Global"},0),IF($A14="S",ROUND($H14,ORÇAMENTO!$AF$10),""),ROUND($I14,ORÇAMENTO!$AF$11)),"")</f>
        <v/>
      </c>
      <c r="Y14" s="429">
        <f ca="1">AO14-O14</f>
        <v>0</v>
      </c>
      <c r="Z14" s="656"/>
      <c r="AB14" s="427"/>
      <c r="AC14" s="594"/>
      <c r="AD14" s="594"/>
      <c r="AE14" s="594"/>
      <c r="AF14" s="594"/>
      <c r="AG14" s="594"/>
      <c r="AH14" s="594"/>
      <c r="AI14" s="594"/>
      <c r="AJ14" s="594"/>
      <c r="AK14" s="594"/>
      <c r="AL14" s="594"/>
      <c r="AM14" s="428"/>
      <c r="AO14">
        <f ca="1">IF($A14="S",IF(BM!$I14=0,0,CHOOSE(MATCH(RegimeExecucao,{"Global","Unitário"},0),ROUND(ROUND(BM.MEDAcumulado,15-13*BM!$A$9)/100*BM!$I14,15-13*ORÇAMENTO!$AF$11),ROUND(ROUND(BM.MEDAcumulado,15-13*BM!$A$9)*ROUND(BM!$H14,15-13*ORÇAMENTO!$AF$10),15-13*ORÇAMENTO!$AF$11))),IF($A14=0,0,ROUND(SomaAgrupBM,15-13*ORÇAMENTO!$AF$11)))</f>
        <v>0</v>
      </c>
    </row>
    <row r="15" spans="1:41">
      <c r="C15" s="139" t="s">
        <v>246</v>
      </c>
      <c r="D15" s="785" t="str">
        <f>"Objeto do CTEF: "&amp;Import.DescLote</f>
        <v>Objeto do CTEF: RECAPEAMENDO DA ESTRADA MUNICIPAL SEBASTIÃO MANECA</v>
      </c>
      <c r="E15" s="785"/>
      <c r="F15" s="630"/>
      <c r="G15" s="631"/>
      <c r="H15" s="631" t="s">
        <v>352</v>
      </c>
      <c r="I15" s="632">
        <f>IF(OR(ACOMPANHAMENTO="PLE",TIPOORCAMENTO="Proposto"),0,ORÇAMENTO!$X$15)</f>
        <v>0</v>
      </c>
      <c r="J15" s="430">
        <f ca="1">IF(M$15=0,0,IF(RegimeExecucao="Global",M$15/$I$15*100,0))</f>
        <v>0</v>
      </c>
      <c r="K15" s="430">
        <f ca="1">L15-J15</f>
        <v>0</v>
      </c>
      <c r="L15" s="430">
        <f ca="1">IF(O$15=0,0,IF(RegimeExecucao="Global",O$15/$I$15*100,0))</f>
        <v>0</v>
      </c>
      <c r="M15" s="431">
        <f ca="1">IF(OR(ACOMPANHAMENTO="PLE",TIPOORCAMENTO="Proposto"),0,SUMIF(OFFSET($A15,1,0):$A$43,"S",OFFSET(M15,1,0):M$43))</f>
        <v>0</v>
      </c>
      <c r="N15" s="431">
        <f ca="1">O15-M15</f>
        <v>0</v>
      </c>
      <c r="O15" s="431">
        <f ca="1">IF(OR(ACOMPANHAMENTO="PLE",TIPOORCAMENTO="Proposto"),0,SUMIF(OFFSET($A15,1,0):$A$43,"S",OFFSET(O15,1,0):O$43))</f>
        <v>0</v>
      </c>
      <c r="Q15" s="432"/>
      <c r="R15" s="432"/>
      <c r="T15" s="433"/>
      <c r="U15" s="434"/>
      <c r="V15" s="434"/>
      <c r="W15" s="434"/>
      <c r="X15" s="434"/>
      <c r="Y15" s="434"/>
      <c r="Z15" s="435"/>
      <c r="AB15" s="781" t="str">
        <f ca="1">"Preencher abaixo com a "&amp;CHOOSE(MATCH(RegimeExecucao,{"Unitário","Global"},0),"QUANTIDADE","PORCENTAGEM")&amp;" executada no PERÍODO"</f>
        <v>Preencher abaixo com a QUANTIDADE executada no PERÍODO</v>
      </c>
      <c r="AC15" s="781"/>
      <c r="AD15" s="781"/>
      <c r="AE15" s="781"/>
      <c r="AF15" s="781"/>
      <c r="AG15" s="781"/>
      <c r="AH15" s="781"/>
      <c r="AI15" s="781"/>
      <c r="AJ15" s="781"/>
      <c r="AK15" s="781"/>
      <c r="AL15" s="781"/>
      <c r="AM15" s="781"/>
    </row>
    <row r="16" spans="1:41">
      <c r="A16">
        <f ca="1">ORÇAMENTO!C16</f>
        <v>1</v>
      </c>
      <c r="B16">
        <f ca="1">ORÇAMENTO!D16</f>
        <v>27</v>
      </c>
      <c r="C16" s="139" t="str">
        <f t="shared" ref="C16:C39" ca="1" si="1">IF(OR($I16&gt;0,$A16=1,$A16=2,$A16=3,$A16=4),"F","")</f>
        <v>F</v>
      </c>
      <c r="D16" s="142" t="str">
        <f ca="1">ORÇAMENTO!O16</f>
        <v>1.</v>
      </c>
      <c r="E16" s="202" t="str">
        <f t="shared" ref="E16:E39" ca="1" si="2">ORÇAMENTO.Descricao</f>
        <v>RECAPEAMENTO DE VIA PÚBLICA</v>
      </c>
      <c r="F16" s="203" t="str">
        <f ca="1">IF(RegimeExecucao="Global","",ORÇAMENTO.Unidade)</f>
        <v>-</v>
      </c>
      <c r="G16" s="147">
        <f ca="1">IF(RegimeExecucao="Global","",ORÇAMENTO!T16)</f>
        <v>0</v>
      </c>
      <c r="H16" s="147">
        <f ca="1">IF(RegimeExecucao="Global","",ORÇAMENTO!W16)</f>
        <v>0</v>
      </c>
      <c r="I16" s="150">
        <f ca="1">ORÇAMENTO!X16</f>
        <v>4133.84</v>
      </c>
      <c r="J16" s="423">
        <f ca="1">IF($A16="S",IF(CAIXA.Modo,BM.AFAnterior,BM.MEDAnterior),IF(AND(RegimeExecucao="Global",$I16&gt;0,COUNTIF($AB$13:$AM$13,BM.medicao-1)&gt;0),M16/$I16*100,0))</f>
        <v>0</v>
      </c>
      <c r="K16" s="147">
        <f t="shared" ref="K16:K39" ca="1" si="3">L16-J16</f>
        <v>0</v>
      </c>
      <c r="L16" s="424">
        <f ca="1">IF($A16="S",IF(CAIXA.Modo,BM.AFAcumulado,BM.MEDAcumulado),IF(AND(RegimeExecucao="Global",$I16&gt;0,COUNTIF($AB$13:$AM$13,BM.medicao)&gt;0),O16/$I16*100,0))</f>
        <v>0</v>
      </c>
      <c r="M16" s="425">
        <f ca="1">IF($A16="S",VTOTALBM,IF($A16=0,0,ROUND(SomaAgrupBM,15-13*ORÇAMENTO!$AF$11)))</f>
        <v>0</v>
      </c>
      <c r="N16" s="426">
        <f t="shared" ref="N16:N39" ca="1" si="4">O16-M16</f>
        <v>0</v>
      </c>
      <c r="O16" s="150">
        <f ca="1">IF($A16="S",VTOTALBM,IF($A16=0,0,ROUND(SomaAgrupBM,15-13*ORÇAMENTO!$AF$11)))</f>
        <v>0</v>
      </c>
      <c r="Q16" s="427"/>
      <c r="R16" s="428"/>
      <c r="T16" s="142" t="str">
        <f t="shared" ref="T16:T39" ca="1" si="5">IF($W16&gt;0,$D16,"")</f>
        <v/>
      </c>
      <c r="U16" s="202" t="str">
        <f t="shared" ref="U16:U39" ca="1" si="6">IF($W16&gt;0,$E16,"")</f>
        <v/>
      </c>
      <c r="V16" s="203" t="str">
        <f ca="1">IF(AND($W16&gt;0,RegimeExecucao="Unitário"),$F16,"")</f>
        <v/>
      </c>
      <c r="W16" s="629">
        <f ca="1">IF($Y16&gt;0,CHOOSE(MATCH(RegimeExecucao,{"Unitário","Global"},0),IF($A16="S",$Y16/$X16,""),($Y16/$X16)*100),0)</f>
        <v>0</v>
      </c>
      <c r="X16" s="429" t="str">
        <f ca="1">IF($Y16&gt;0,CHOOSE(MATCH(RegimeExecucao,{"Unitário","Global"},0),IF($A16="S",ROUND($H16,ORÇAMENTO!$AF$10),""),ROUND($I16,ORÇAMENTO!$AF$11)),"")</f>
        <v/>
      </c>
      <c r="Y16" s="429">
        <f t="shared" ref="Y16:Y39" ca="1" si="7">AO16-O16</f>
        <v>0</v>
      </c>
      <c r="Z16" s="656"/>
      <c r="AB16" s="427"/>
      <c r="AC16" s="594"/>
      <c r="AD16" s="594"/>
      <c r="AE16" s="594"/>
      <c r="AF16" s="594"/>
      <c r="AG16" s="594"/>
      <c r="AH16" s="594"/>
      <c r="AI16" s="594"/>
      <c r="AJ16" s="594"/>
      <c r="AK16" s="594"/>
      <c r="AL16" s="594"/>
      <c r="AM16" s="428"/>
      <c r="AO16">
        <f ca="1">IF($A16="S",IF(BM!$I16=0,0,CHOOSE(MATCH(RegimeExecucao,{"Global","Unitário"},0),ROUND(ROUND(BM.MEDAcumulado,15-13*BM!$A$9)/100*BM!$I16,15-13*ORÇAMENTO!$AF$11),ROUND(ROUND(BM.MEDAcumulado,15-13*BM!$A$9)*ROUND(BM!$H16,15-13*ORÇAMENTO!$AF$10),15-13*ORÇAMENTO!$AF$11))),IF($A16=0,0,ROUND(SomaAgrupBM,15-13*ORÇAMENTO!$AF$11)))</f>
        <v>0</v>
      </c>
    </row>
    <row r="17" spans="1:41">
      <c r="A17">
        <f ca="1">ORÇAMENTO!C17</f>
        <v>2</v>
      </c>
      <c r="B17">
        <f ca="1">ORÇAMENTO!D17</f>
        <v>6</v>
      </c>
      <c r="C17" s="139" t="str">
        <f t="shared" ca="1" si="1"/>
        <v>F</v>
      </c>
      <c r="D17" s="142" t="str">
        <f ca="1">ORÇAMENTO!O17</f>
        <v>1.1.</v>
      </c>
      <c r="E17" s="202" t="str">
        <f t="shared" ca="1" si="2"/>
        <v>INSTALAÇÕES INICIAIS DA OBRA</v>
      </c>
      <c r="F17" s="203" t="str">
        <f ca="1">IF(RegimeExecucao="Global","",ORÇAMENTO.Unidade)</f>
        <v>-</v>
      </c>
      <c r="G17" s="147">
        <f ca="1">IF(RegimeExecucao="Global","",ORÇAMENTO!T17)</f>
        <v>0</v>
      </c>
      <c r="H17" s="147">
        <f ca="1">IF(RegimeExecucao="Global","",ORÇAMENTO!W17)</f>
        <v>0</v>
      </c>
      <c r="I17" s="150">
        <f ca="1">ORÇAMENTO!X17</f>
        <v>0</v>
      </c>
      <c r="J17" s="423">
        <f ca="1">IF($A17="S",IF(CAIXA.Modo,BM.AFAnterior,BM.MEDAnterior),IF(AND(RegimeExecucao="Global",$I17&gt;0,COUNTIF($AB$13:$AM$13,BM.medicao-1)&gt;0),M17/$I17*100,0))</f>
        <v>0</v>
      </c>
      <c r="K17" s="147">
        <f t="shared" ca="1" si="3"/>
        <v>0</v>
      </c>
      <c r="L17" s="424">
        <f ca="1">IF($A17="S",IF(CAIXA.Modo,BM.AFAcumulado,BM.MEDAcumulado),IF(AND(RegimeExecucao="Global",$I17&gt;0,COUNTIF($AB$13:$AM$13,BM.medicao)&gt;0),O17/$I17*100,0))</f>
        <v>0</v>
      </c>
      <c r="M17" s="425">
        <f ca="1">IF($A17="S",VTOTALBM,IF($A17=0,0,ROUND(SomaAgrupBM,15-13*ORÇAMENTO!$AF$11)))</f>
        <v>0</v>
      </c>
      <c r="N17" s="426">
        <f t="shared" ca="1" si="4"/>
        <v>0</v>
      </c>
      <c r="O17" s="150">
        <f ca="1">IF($A17="S",VTOTALBM,IF($A17=0,0,ROUND(SomaAgrupBM,15-13*ORÇAMENTO!$AF$11)))</f>
        <v>0</v>
      </c>
      <c r="Q17" s="427"/>
      <c r="R17" s="428"/>
      <c r="T17" s="142" t="str">
        <f t="shared" ca="1" si="5"/>
        <v/>
      </c>
      <c r="U17" s="202" t="str">
        <f t="shared" ca="1" si="6"/>
        <v/>
      </c>
      <c r="V17" s="203" t="str">
        <f ca="1">IF(AND($W17&gt;0,RegimeExecucao="Unitário"),$F17,"")</f>
        <v/>
      </c>
      <c r="W17" s="629">
        <f ca="1">IF($Y17&gt;0,CHOOSE(MATCH(RegimeExecucao,{"Unitário","Global"},0),IF($A17="S",$Y17/$X17,""),($Y17/$X17)*100),0)</f>
        <v>0</v>
      </c>
      <c r="X17" s="429" t="str">
        <f ca="1">IF($Y17&gt;0,CHOOSE(MATCH(RegimeExecucao,{"Unitário","Global"},0),IF($A17="S",ROUND($H17,ORÇAMENTO!$AF$10),""),ROUND($I17,ORÇAMENTO!$AF$11)),"")</f>
        <v/>
      </c>
      <c r="Y17" s="429">
        <f t="shared" ca="1" si="7"/>
        <v>0</v>
      </c>
      <c r="Z17" s="656"/>
      <c r="AB17" s="427"/>
      <c r="AC17" s="594"/>
      <c r="AD17" s="594"/>
      <c r="AE17" s="594"/>
      <c r="AF17" s="594"/>
      <c r="AG17" s="594"/>
      <c r="AH17" s="594"/>
      <c r="AI17" s="594"/>
      <c r="AJ17" s="594"/>
      <c r="AK17" s="594"/>
      <c r="AL17" s="594"/>
      <c r="AM17" s="428"/>
      <c r="AO17">
        <f ca="1">IF($A17="S",IF(BM!$I17=0,0,CHOOSE(MATCH(RegimeExecucao,{"Global","Unitário"},0),ROUND(ROUND(BM.MEDAcumulado,15-13*BM!$A$9)/100*BM!$I17,15-13*ORÇAMENTO!$AF$11),ROUND(ROUND(BM.MEDAcumulado,15-13*BM!$A$9)*ROUND(BM!$H17,15-13*ORÇAMENTO!$AF$10),15-13*ORÇAMENTO!$AF$11))),IF($A17=0,0,ROUND(SomaAgrupBM,15-13*ORÇAMENTO!$AF$11)))</f>
        <v>0</v>
      </c>
    </row>
    <row r="18" spans="1:41" ht="25.5">
      <c r="A18" t="str">
        <f ca="1">ORÇAMENTO!C18</f>
        <v>S</v>
      </c>
      <c r="B18">
        <f ca="1">ORÇAMENTO!D18</f>
        <v>0</v>
      </c>
      <c r="C18" s="139" t="str">
        <f t="shared" ca="1" si="1"/>
        <v/>
      </c>
      <c r="D18" s="142" t="str">
        <f ca="1">ORÇAMENTO!O18</f>
        <v>-</v>
      </c>
      <c r="E18" s="202" t="str">
        <f t="shared" ca="1" si="2"/>
        <v>(abra o arquivo 'Referência 07-2024.xlsm)</v>
      </c>
      <c r="F18" s="203" t="str">
        <f ca="1">IF(RegimeExecucao="Global","",ORÇAMENTO.Unidade)</f>
        <v>-</v>
      </c>
      <c r="G18" s="147">
        <f ca="1">IF(RegimeExecucao="Global","",ORÇAMENTO!T18)</f>
        <v>4.5</v>
      </c>
      <c r="H18" s="147">
        <f ca="1">IF(RegimeExecucao="Global","",ORÇAMENTO!W18)</f>
        <v>0</v>
      </c>
      <c r="I18" s="150">
        <f ca="1">ORÇAMENTO!X18</f>
        <v>0</v>
      </c>
      <c r="J18" s="423">
        <f ca="1">IF($A18="S",IF(CAIXA.Modo,BM.AFAnterior,BM.MEDAnterior),IF(AND(RegimeExecucao="Global",$I18&gt;0,COUNTIF($AB$13:$AM$13,BM.medicao-1)&gt;0),M18/$I18*100,0))</f>
        <v>0</v>
      </c>
      <c r="K18" s="147">
        <f t="shared" ca="1" si="3"/>
        <v>0</v>
      </c>
      <c r="L18" s="424">
        <f ca="1">IF($A18="S",IF(CAIXA.Modo,BM.AFAcumulado,BM.MEDAcumulado),IF(AND(RegimeExecucao="Global",$I18&gt;0,COUNTIF($AB$13:$AM$13,BM.medicao)&gt;0),O18/$I18*100,0))</f>
        <v>0</v>
      </c>
      <c r="M18" s="425">
        <f ca="1">IF($A18="S",VTOTALBM,IF($A18=0,0,ROUND(SomaAgrupBM,15-13*ORÇAMENTO!$AF$11)))</f>
        <v>0</v>
      </c>
      <c r="N18" s="426">
        <f t="shared" ca="1" si="4"/>
        <v>0</v>
      </c>
      <c r="O18" s="150">
        <f ca="1">IF($A18="S",VTOTALBM,IF($A18=0,0,ROUND(SomaAgrupBM,15-13*ORÇAMENTO!$AF$11)))</f>
        <v>0</v>
      </c>
      <c r="Q18" s="427"/>
      <c r="R18" s="428"/>
      <c r="T18" s="142" t="str">
        <f t="shared" ca="1" si="5"/>
        <v/>
      </c>
      <c r="U18" s="202" t="str">
        <f t="shared" ca="1" si="6"/>
        <v/>
      </c>
      <c r="V18" s="203" t="str">
        <f ca="1">IF(AND($W18&gt;0,RegimeExecucao="Unitário"),$F18,"")</f>
        <v/>
      </c>
      <c r="W18" s="629">
        <f ca="1">IF($Y18&gt;0,CHOOSE(MATCH(RegimeExecucao,{"Unitário","Global"},0),IF($A18="S",$Y18/$X18,""),($Y18/$X18)*100),0)</f>
        <v>0</v>
      </c>
      <c r="X18" s="429" t="str">
        <f ca="1">IF($Y18&gt;0,CHOOSE(MATCH(RegimeExecucao,{"Unitário","Global"},0),IF($A18="S",ROUND($H18,ORÇAMENTO!$AF$10),""),ROUND($I18,ORÇAMENTO!$AF$11)),"")</f>
        <v/>
      </c>
      <c r="Y18" s="429">
        <f t="shared" ca="1" si="7"/>
        <v>0</v>
      </c>
      <c r="Z18" s="656"/>
      <c r="AB18" s="427"/>
      <c r="AC18" s="594"/>
      <c r="AD18" s="594"/>
      <c r="AE18" s="594"/>
      <c r="AF18" s="594"/>
      <c r="AG18" s="594"/>
      <c r="AH18" s="594"/>
      <c r="AI18" s="594"/>
      <c r="AJ18" s="594"/>
      <c r="AK18" s="594"/>
      <c r="AL18" s="594"/>
      <c r="AM18" s="428"/>
      <c r="AO18">
        <f ca="1">IF($A18="S",IF(BM!$I18=0,0,CHOOSE(MATCH(RegimeExecucao,{"Global","Unitário"},0),ROUND(ROUND(BM.MEDAcumulado,15-13*BM!$A$9)/100*BM!$I18,15-13*ORÇAMENTO!$AF$11),ROUND(ROUND(BM.MEDAcumulado,15-13*BM!$A$9)*ROUND(BM!$H18,15-13*ORÇAMENTO!$AF$10),15-13*ORÇAMENTO!$AF$11))),IF($A18=0,0,ROUND(SomaAgrupBM,15-13*ORÇAMENTO!$AF$11)))</f>
        <v>0</v>
      </c>
    </row>
    <row r="19" spans="1:41" ht="38.25">
      <c r="A19" t="str">
        <f ca="1">ORÇAMENTO!C19</f>
        <v>S</v>
      </c>
      <c r="B19">
        <f ca="1">ORÇAMENTO!D19</f>
        <v>0</v>
      </c>
      <c r="C19" s="139" t="str">
        <f ca="1">IF(OR($I19&gt;0,$A19=1,$A19=2,$A19=3,$A19=4),"F","")</f>
        <v/>
      </c>
      <c r="D19" s="142" t="str">
        <f ca="1">ORÇAMENTO!O19</f>
        <v>-</v>
      </c>
      <c r="E19" s="202" t="str">
        <f t="shared" ref="E19:E25" ca="1" si="8">ORÇAMENTO.Descricao</f>
        <v>(abra o arquivo 'Referência 07-2024.xlsm)</v>
      </c>
      <c r="F19" s="203" t="str">
        <f ca="1">IF(RegimeExecucao="Global","",ORÇAMENTO.Unidade)</f>
        <v>-</v>
      </c>
      <c r="G19" s="147">
        <f ca="1">IF(RegimeExecucao="Global","",ORÇAMENTO!T19)</f>
        <v>2</v>
      </c>
      <c r="H19" s="147">
        <f ca="1">IF(RegimeExecucao="Global","",ORÇAMENTO!W19)</f>
        <v>0</v>
      </c>
      <c r="I19" s="150">
        <f ca="1">ORÇAMENTO!X19</f>
        <v>0</v>
      </c>
      <c r="J19" s="423">
        <f ca="1">IF($A19="S",IF(CAIXA.Modo,BM.AFAnterior,BM.MEDAnterior),IF(AND(RegimeExecucao="Global",$I19&gt;0,COUNTIF($AB$13:$AM$13,BM.medicao-1)&gt;0),M19/$I19*100,0))</f>
        <v>0</v>
      </c>
      <c r="K19" s="147">
        <f ca="1">L19-J19</f>
        <v>0</v>
      </c>
      <c r="L19" s="424">
        <f ca="1">IF($A19="S",IF(CAIXA.Modo,BM.AFAcumulado,BM.MEDAcumulado),IF(AND(RegimeExecucao="Global",$I19&gt;0,COUNTIF($AB$13:$AM$13,BM.medicao)&gt;0),O19/$I19*100,0))</f>
        <v>0</v>
      </c>
      <c r="M19" s="425">
        <f ca="1">IF($A19="S",VTOTALBM,IF($A19=0,0,ROUND(SomaAgrupBM,15-13*ORÇAMENTO!$AF$11)))</f>
        <v>0</v>
      </c>
      <c r="N19" s="426">
        <f ca="1">O19-M19</f>
        <v>0</v>
      </c>
      <c r="O19" s="150">
        <f ca="1">IF($A19="S",VTOTALBM,IF($A19=0,0,ROUND(SomaAgrupBM,15-13*ORÇAMENTO!$AF$11)))</f>
        <v>0</v>
      </c>
      <c r="Q19" s="427"/>
      <c r="R19" s="428"/>
      <c r="T19" s="142" t="str">
        <f ca="1">IF($W19&gt;0,$D19,"")</f>
        <v/>
      </c>
      <c r="U19" s="202" t="str">
        <f ca="1">IF($W19&gt;0,$E19,"")</f>
        <v/>
      </c>
      <c r="V19" s="203" t="str">
        <f ca="1">IF(AND($W19&gt;0,RegimeExecucao="Unitário"),$F19,"")</f>
        <v/>
      </c>
      <c r="W19" s="629">
        <f ca="1">IF($Y19&gt;0,CHOOSE(MATCH(RegimeExecucao,{"Unitário","Global"},0),IF($A19="S",$Y19/$X19,""),($Y19/$X19)*100),0)</f>
        <v>0</v>
      </c>
      <c r="X19" s="429" t="str">
        <f ca="1">IF($Y19&gt;0,CHOOSE(MATCH(RegimeExecucao,{"Unitário","Global"},0),IF($A19="S",ROUND($H19,ORÇAMENTO!$AF$10),""),ROUND($I19,ORÇAMENTO!$AF$11)),"")</f>
        <v/>
      </c>
      <c r="Y19" s="429">
        <f ca="1">AO19-O19</f>
        <v>0</v>
      </c>
      <c r="Z19" s="656"/>
      <c r="AB19" s="427"/>
      <c r="AC19" s="594"/>
      <c r="AD19" s="594"/>
      <c r="AE19" s="594"/>
      <c r="AF19" s="594"/>
      <c r="AG19" s="594"/>
      <c r="AH19" s="594"/>
      <c r="AI19" s="594"/>
      <c r="AJ19" s="594"/>
      <c r="AK19" s="594"/>
      <c r="AL19" s="594"/>
      <c r="AM19" s="428"/>
      <c r="AO19">
        <f ca="1">IF($A19="S",IF(BM!$I19=0,0,CHOOSE(MATCH(RegimeExecucao,{"Global","Unitário"},0),ROUND(ROUND(BM.MEDAcumulado,15-13*BM!$A$9)/100*BM!$I19,15-13*ORÇAMENTO!$AF$11),ROUND(ROUND(BM.MEDAcumulado,15-13*BM!$A$9)*ROUND(BM!$H19,15-13*ORÇAMENTO!$AF$10),15-13*ORÇAMENTO!$AF$11))),IF($A19=0,0,ROUND(SomaAgrupBM,15-13*ORÇAMENTO!$AF$11)))</f>
        <v>0</v>
      </c>
    </row>
    <row r="20" spans="1:41" ht="76.5">
      <c r="A20" t="str">
        <f ca="1">ORÇAMENTO!C20</f>
        <v>S</v>
      </c>
      <c r="B20">
        <f ca="1">ORÇAMENTO!D20</f>
        <v>0</v>
      </c>
      <c r="C20" s="139" t="str">
        <f t="shared" ref="C20:C21" ca="1" si="9">IF(OR($I20&gt;0,$A20=1,$A20=2,$A20=3,$A20=4),"F","")</f>
        <v/>
      </c>
      <c r="D20" s="142" t="str">
        <f ca="1">ORÇAMENTO!O20</f>
        <v>-</v>
      </c>
      <c r="E20" s="202" t="str">
        <f t="shared" ca="1" si="8"/>
        <v>(abra o arquivo 'Referência 07-2024.xlsm)</v>
      </c>
      <c r="F20" s="203" t="str">
        <f ca="1">IF(RegimeExecucao="Global","",ORÇAMENTO.Unidade)</f>
        <v>-</v>
      </c>
      <c r="G20" s="147">
        <f ca="1">IF(RegimeExecucao="Global","",ORÇAMENTO!T20)</f>
        <v>2</v>
      </c>
      <c r="H20" s="147">
        <f ca="1">IF(RegimeExecucao="Global","",ORÇAMENTO!W20)</f>
        <v>0</v>
      </c>
      <c r="I20" s="150">
        <f ca="1">ORÇAMENTO!X20</f>
        <v>0</v>
      </c>
      <c r="J20" s="423">
        <f ca="1">IF($A20="S",IF(CAIXA.Modo,BM.AFAnterior,BM.MEDAnterior),IF(AND(RegimeExecucao="Global",$I20&gt;0,COUNTIF($AB$13:$AM$13,BM.medicao-1)&gt;0),M20/$I20*100,0))</f>
        <v>0</v>
      </c>
      <c r="K20" s="147">
        <f t="shared" ref="K20:K21" ca="1" si="10">L20-J20</f>
        <v>0</v>
      </c>
      <c r="L20" s="424">
        <f ca="1">IF($A20="S",IF(CAIXA.Modo,BM.AFAcumulado,BM.MEDAcumulado),IF(AND(RegimeExecucao="Global",$I20&gt;0,COUNTIF($AB$13:$AM$13,BM.medicao)&gt;0),O20/$I20*100,0))</f>
        <v>0</v>
      </c>
      <c r="M20" s="425">
        <f ca="1">IF($A20="S",VTOTALBM,IF($A20=0,0,ROUND(SomaAgrupBM,15-13*ORÇAMENTO!$AF$11)))</f>
        <v>0</v>
      </c>
      <c r="N20" s="426">
        <f t="shared" ref="N20:N21" ca="1" si="11">O20-M20</f>
        <v>0</v>
      </c>
      <c r="O20" s="150">
        <f ca="1">IF($A20="S",VTOTALBM,IF($A20=0,0,ROUND(SomaAgrupBM,15-13*ORÇAMENTO!$AF$11)))</f>
        <v>0</v>
      </c>
      <c r="Q20" s="427"/>
      <c r="R20" s="428"/>
      <c r="T20" s="142" t="str">
        <f t="shared" ref="T20:T21" ca="1" si="12">IF($W20&gt;0,$D20,"")</f>
        <v/>
      </c>
      <c r="U20" s="202" t="str">
        <f t="shared" ref="U20:U21" ca="1" si="13">IF($W20&gt;0,$E20,"")</f>
        <v/>
      </c>
      <c r="V20" s="203" t="str">
        <f ca="1">IF(AND($W20&gt;0,RegimeExecucao="Unitário"),$F20,"")</f>
        <v/>
      </c>
      <c r="W20" s="629">
        <f ca="1">IF($Y20&gt;0,CHOOSE(MATCH(RegimeExecucao,{"Unitário","Global"},0),IF($A20="S",$Y20/$X20,""),($Y20/$X20)*100),0)</f>
        <v>0</v>
      </c>
      <c r="X20" s="429" t="str">
        <f ca="1">IF($Y20&gt;0,CHOOSE(MATCH(RegimeExecucao,{"Unitário","Global"},0),IF($A20="S",ROUND($H20,ORÇAMENTO!$AF$10),""),ROUND($I20,ORÇAMENTO!$AF$11)),"")</f>
        <v/>
      </c>
      <c r="Y20" s="429">
        <f t="shared" ref="Y20:Y21" ca="1" si="14">AO20-O20</f>
        <v>0</v>
      </c>
      <c r="Z20" s="656"/>
      <c r="AB20" s="427"/>
      <c r="AC20" s="594"/>
      <c r="AD20" s="594"/>
      <c r="AE20" s="594"/>
      <c r="AF20" s="594"/>
      <c r="AG20" s="594"/>
      <c r="AH20" s="594"/>
      <c r="AI20" s="594"/>
      <c r="AJ20" s="594"/>
      <c r="AK20" s="594"/>
      <c r="AL20" s="594"/>
      <c r="AM20" s="428"/>
      <c r="AO20">
        <f ca="1">IF($A20="S",IF(BM!$I20=0,0,CHOOSE(MATCH(RegimeExecucao,{"Global","Unitário"},0),ROUND(ROUND(BM.MEDAcumulado,15-13*BM!$A$9)/100*BM!$I20,15-13*ORÇAMENTO!$AF$11),ROUND(ROUND(BM.MEDAcumulado,15-13*BM!$A$9)*ROUND(BM!$H20,15-13*ORÇAMENTO!$AF$10),15-13*ORÇAMENTO!$AF$11))),IF($A20=0,0,ROUND(SomaAgrupBM,15-13*ORÇAMENTO!$AF$11)))</f>
        <v>0</v>
      </c>
    </row>
    <row r="21" spans="1:41" ht="38.25">
      <c r="A21" t="str">
        <f ca="1">ORÇAMENTO!C21</f>
        <v>S</v>
      </c>
      <c r="B21">
        <f ca="1">ORÇAMENTO!D21</f>
        <v>0</v>
      </c>
      <c r="C21" s="139" t="str">
        <f t="shared" ca="1" si="9"/>
        <v/>
      </c>
      <c r="D21" s="142" t="str">
        <f ca="1">ORÇAMENTO!O21</f>
        <v>-</v>
      </c>
      <c r="E21" s="202" t="str">
        <f t="shared" ca="1" si="8"/>
        <v>(abra o arquivo 'Referência 07-2024.xlsm)</v>
      </c>
      <c r="F21" s="203" t="str">
        <f ca="1">IF(RegimeExecucao="Global","",ORÇAMENTO.Unidade)</f>
        <v>-</v>
      </c>
      <c r="G21" s="147">
        <f ca="1">IF(RegimeExecucao="Global","",ORÇAMENTO!T21)</f>
        <v>1</v>
      </c>
      <c r="H21" s="147">
        <f ca="1">IF(RegimeExecucao="Global","",ORÇAMENTO!W21)</f>
        <v>0</v>
      </c>
      <c r="I21" s="150">
        <f ca="1">ORÇAMENTO!X21</f>
        <v>0</v>
      </c>
      <c r="J21" s="423">
        <f ca="1">IF($A21="S",IF(CAIXA.Modo,BM.AFAnterior,BM.MEDAnterior),IF(AND(RegimeExecucao="Global",$I21&gt;0,COUNTIF($AB$13:$AM$13,BM.medicao-1)&gt;0),M21/$I21*100,0))</f>
        <v>0</v>
      </c>
      <c r="K21" s="147">
        <f t="shared" ca="1" si="10"/>
        <v>0</v>
      </c>
      <c r="L21" s="424">
        <f ca="1">IF($A21="S",IF(CAIXA.Modo,BM.AFAcumulado,BM.MEDAcumulado),IF(AND(RegimeExecucao="Global",$I21&gt;0,COUNTIF($AB$13:$AM$13,BM.medicao)&gt;0),O21/$I21*100,0))</f>
        <v>0</v>
      </c>
      <c r="M21" s="425">
        <f ca="1">IF($A21="S",VTOTALBM,IF($A21=0,0,ROUND(SomaAgrupBM,15-13*ORÇAMENTO!$AF$11)))</f>
        <v>0</v>
      </c>
      <c r="N21" s="426">
        <f t="shared" ca="1" si="11"/>
        <v>0</v>
      </c>
      <c r="O21" s="150">
        <f ca="1">IF($A21="S",VTOTALBM,IF($A21=0,0,ROUND(SomaAgrupBM,15-13*ORÇAMENTO!$AF$11)))</f>
        <v>0</v>
      </c>
      <c r="Q21" s="427"/>
      <c r="R21" s="428"/>
      <c r="T21" s="142" t="str">
        <f t="shared" ca="1" si="12"/>
        <v/>
      </c>
      <c r="U21" s="202" t="str">
        <f t="shared" ca="1" si="13"/>
        <v/>
      </c>
      <c r="V21" s="203" t="str">
        <f ca="1">IF(AND($W21&gt;0,RegimeExecucao="Unitário"),$F21,"")</f>
        <v/>
      </c>
      <c r="W21" s="629">
        <f ca="1">IF($Y21&gt;0,CHOOSE(MATCH(RegimeExecucao,{"Unitário","Global"},0),IF($A21="S",$Y21/$X21,""),($Y21/$X21)*100),0)</f>
        <v>0</v>
      </c>
      <c r="X21" s="429" t="str">
        <f ca="1">IF($Y21&gt;0,CHOOSE(MATCH(RegimeExecucao,{"Unitário","Global"},0),IF($A21="S",ROUND($H21,ORÇAMENTO!$AF$10),""),ROUND($I21,ORÇAMENTO!$AF$11)),"")</f>
        <v/>
      </c>
      <c r="Y21" s="429">
        <f t="shared" ca="1" si="14"/>
        <v>0</v>
      </c>
      <c r="Z21" s="656"/>
      <c r="AB21" s="427"/>
      <c r="AC21" s="594"/>
      <c r="AD21" s="594"/>
      <c r="AE21" s="594"/>
      <c r="AF21" s="594"/>
      <c r="AG21" s="594"/>
      <c r="AH21" s="594"/>
      <c r="AI21" s="594"/>
      <c r="AJ21" s="594"/>
      <c r="AK21" s="594"/>
      <c r="AL21" s="594"/>
      <c r="AM21" s="428"/>
      <c r="AO21">
        <f ca="1">IF($A21="S",IF(BM!$I21=0,0,CHOOSE(MATCH(RegimeExecucao,{"Global","Unitário"},0),ROUND(ROUND(BM.MEDAcumulado,15-13*BM!$A$9)/100*BM!$I21,15-13*ORÇAMENTO!$AF$11),ROUND(ROUND(BM.MEDAcumulado,15-13*BM!$A$9)*ROUND(BM!$H21,15-13*ORÇAMENTO!$AF$10),15-13*ORÇAMENTO!$AF$11))),IF($A21=0,0,ROUND(SomaAgrupBM,15-13*ORÇAMENTO!$AF$11)))</f>
        <v>0</v>
      </c>
    </row>
    <row r="22" spans="1:41" ht="25.5">
      <c r="A22" t="str">
        <f ca="1">ORÇAMENTO!C22</f>
        <v>S</v>
      </c>
      <c r="B22">
        <f ca="1">ORÇAMENTO!D22</f>
        <v>0</v>
      </c>
      <c r="C22" s="139" t="str">
        <f ca="1">IF(OR($I22&gt;0,$A22=1,$A22=2,$A22=3,$A22=4),"F","")</f>
        <v/>
      </c>
      <c r="D22" s="142" t="str">
        <f ca="1">ORÇAMENTO!O22</f>
        <v>-</v>
      </c>
      <c r="E22" s="202" t="str">
        <f t="shared" ca="1" si="8"/>
        <v>(abra o arquivo 'Referência 07-2024.xlsm)</v>
      </c>
      <c r="F22" s="203" t="str">
        <f ca="1">IF(RegimeExecucao="Global","",ORÇAMENTO.Unidade)</f>
        <v>-</v>
      </c>
      <c r="G22" s="147">
        <f ca="1">IF(RegimeExecucao="Global","",ORÇAMENTO!T22)</f>
        <v>55</v>
      </c>
      <c r="H22" s="147">
        <f ca="1">IF(RegimeExecucao="Global","",ORÇAMENTO!W22)</f>
        <v>0</v>
      </c>
      <c r="I22" s="150">
        <f ca="1">ORÇAMENTO!X22</f>
        <v>0</v>
      </c>
      <c r="J22" s="423">
        <f ca="1">IF($A22="S",IF(CAIXA.Modo,BM.AFAnterior,BM.MEDAnterior),IF(AND(RegimeExecucao="Global",$I22&gt;0,COUNTIF($AB$13:$AM$13,BM.medicao-1)&gt;0),M22/$I22*100,0))</f>
        <v>0</v>
      </c>
      <c r="K22" s="147">
        <f ca="1">L22-J22</f>
        <v>0</v>
      </c>
      <c r="L22" s="424">
        <f ca="1">IF($A22="S",IF(CAIXA.Modo,BM.AFAcumulado,BM.MEDAcumulado),IF(AND(RegimeExecucao="Global",$I22&gt;0,COUNTIF($AB$13:$AM$13,BM.medicao)&gt;0),O22/$I22*100,0))</f>
        <v>0</v>
      </c>
      <c r="M22" s="425">
        <f ca="1">IF($A22="S",VTOTALBM,IF($A22=0,0,ROUND(SomaAgrupBM,15-13*ORÇAMENTO!$AF$11)))</f>
        <v>0</v>
      </c>
      <c r="N22" s="426">
        <f ca="1">O22-M22</f>
        <v>0</v>
      </c>
      <c r="O22" s="150">
        <f ca="1">IF($A22="S",VTOTALBM,IF($A22=0,0,ROUND(SomaAgrupBM,15-13*ORÇAMENTO!$AF$11)))</f>
        <v>0</v>
      </c>
      <c r="Q22" s="427"/>
      <c r="R22" s="428"/>
      <c r="T22" s="142" t="str">
        <f ca="1">IF($W22&gt;0,$D22,"")</f>
        <v/>
      </c>
      <c r="U22" s="202" t="str">
        <f ca="1">IF($W22&gt;0,$E22,"")</f>
        <v/>
      </c>
      <c r="V22" s="203" t="str">
        <f ca="1">IF(AND($W22&gt;0,RegimeExecucao="Unitário"),$F22,"")</f>
        <v/>
      </c>
      <c r="W22" s="629">
        <f ca="1">IF($Y22&gt;0,CHOOSE(MATCH(RegimeExecucao,{"Unitário","Global"},0),IF($A22="S",$Y22/$X22,""),($Y22/$X22)*100),0)</f>
        <v>0</v>
      </c>
      <c r="X22" s="429" t="str">
        <f ca="1">IF($Y22&gt;0,CHOOSE(MATCH(RegimeExecucao,{"Unitário","Global"},0),IF($A22="S",ROUND($H22,ORÇAMENTO!$AF$10),""),ROUND($I22,ORÇAMENTO!$AF$11)),"")</f>
        <v/>
      </c>
      <c r="Y22" s="429">
        <f ca="1">AO22-O22</f>
        <v>0</v>
      </c>
      <c r="Z22" s="656"/>
      <c r="AB22" s="427"/>
      <c r="AC22" s="594"/>
      <c r="AD22" s="594"/>
      <c r="AE22" s="594"/>
      <c r="AF22" s="594"/>
      <c r="AG22" s="594"/>
      <c r="AH22" s="594"/>
      <c r="AI22" s="594"/>
      <c r="AJ22" s="594"/>
      <c r="AK22" s="594"/>
      <c r="AL22" s="594"/>
      <c r="AM22" s="428"/>
      <c r="AO22">
        <f ca="1">IF($A22="S",IF(BM!$I22=0,0,CHOOSE(MATCH(RegimeExecucao,{"Global","Unitário"},0),ROUND(ROUND(BM.MEDAcumulado,15-13*BM!$A$9)/100*BM!$I22,15-13*ORÇAMENTO!$AF$11),ROUND(ROUND(BM.MEDAcumulado,15-13*BM!$A$9)*ROUND(BM!$H22,15-13*ORÇAMENTO!$AF$10),15-13*ORÇAMENTO!$AF$11))),IF($A22=0,0,ROUND(SomaAgrupBM,15-13*ORÇAMENTO!$AF$11)))</f>
        <v>0</v>
      </c>
    </row>
    <row r="23" spans="1:41">
      <c r="A23">
        <f ca="1">ORÇAMENTO!C23</f>
        <v>2</v>
      </c>
      <c r="B23">
        <f ca="1">ORÇAMENTO!D23</f>
        <v>3</v>
      </c>
      <c r="C23" s="139" t="str">
        <f t="shared" ref="C23:C25" ca="1" si="15">IF(OR($I23&gt;0,$A23=1,$A23=2,$A23=3,$A23=4),"F","")</f>
        <v>F</v>
      </c>
      <c r="D23" s="142" t="str">
        <f ca="1">ORÇAMENTO!O23</f>
        <v>1.2.</v>
      </c>
      <c r="E23" s="202" t="str">
        <f t="shared" ca="1" si="8"/>
        <v>ADMINISTRAÇÃO DE OBRA</v>
      </c>
      <c r="F23" s="203" t="str">
        <f ca="1">IF(RegimeExecucao="Global","",ORÇAMENTO.Unidade)</f>
        <v>-</v>
      </c>
      <c r="G23" s="147">
        <f ca="1">IF(RegimeExecucao="Global","",ORÇAMENTO!T23)</f>
        <v>0</v>
      </c>
      <c r="H23" s="147">
        <f ca="1">IF(RegimeExecucao="Global","",ORÇAMENTO!W23)</f>
        <v>0</v>
      </c>
      <c r="I23" s="150">
        <f ca="1">ORÇAMENTO!X23</f>
        <v>0</v>
      </c>
      <c r="J23" s="423">
        <f ca="1">IF($A23="S",IF(CAIXA.Modo,BM.AFAnterior,BM.MEDAnterior),IF(AND(RegimeExecucao="Global",$I23&gt;0,COUNTIF($AB$13:$AM$13,BM.medicao-1)&gt;0),M23/$I23*100,0))</f>
        <v>0</v>
      </c>
      <c r="K23" s="147">
        <f t="shared" ref="K23:K25" ca="1" si="16">L23-J23</f>
        <v>0</v>
      </c>
      <c r="L23" s="424">
        <f ca="1">IF($A23="S",IF(CAIXA.Modo,BM.AFAcumulado,BM.MEDAcumulado),IF(AND(RegimeExecucao="Global",$I23&gt;0,COUNTIF($AB$13:$AM$13,BM.medicao)&gt;0),O23/$I23*100,0))</f>
        <v>0</v>
      </c>
      <c r="M23" s="425">
        <f ca="1">IF($A23="S",VTOTALBM,IF($A23=0,0,ROUND(SomaAgrupBM,15-13*ORÇAMENTO!$AF$11)))</f>
        <v>0</v>
      </c>
      <c r="N23" s="426">
        <f t="shared" ref="N23:N25" ca="1" si="17">O23-M23</f>
        <v>0</v>
      </c>
      <c r="O23" s="150">
        <f ca="1">IF($A23="S",VTOTALBM,IF($A23=0,0,ROUND(SomaAgrupBM,15-13*ORÇAMENTO!$AF$11)))</f>
        <v>0</v>
      </c>
      <c r="Q23" s="427"/>
      <c r="R23" s="428"/>
      <c r="T23" s="142" t="str">
        <f t="shared" ref="T23:T25" ca="1" si="18">IF($W23&gt;0,$D23,"")</f>
        <v/>
      </c>
      <c r="U23" s="202" t="str">
        <f t="shared" ref="U23:U25" ca="1" si="19">IF($W23&gt;0,$E23,"")</f>
        <v/>
      </c>
      <c r="V23" s="203" t="str">
        <f ca="1">IF(AND($W23&gt;0,RegimeExecucao="Unitário"),$F23,"")</f>
        <v/>
      </c>
      <c r="W23" s="629">
        <f ca="1">IF($Y23&gt;0,CHOOSE(MATCH(RegimeExecucao,{"Unitário","Global"},0),IF($A23="S",$Y23/$X23,""),($Y23/$X23)*100),0)</f>
        <v>0</v>
      </c>
      <c r="X23" s="429" t="str">
        <f ca="1">IF($Y23&gt;0,CHOOSE(MATCH(RegimeExecucao,{"Unitário","Global"},0),IF($A23="S",ROUND($H23,ORÇAMENTO!$AF$10),""),ROUND($I23,ORÇAMENTO!$AF$11)),"")</f>
        <v/>
      </c>
      <c r="Y23" s="429">
        <f t="shared" ref="Y23:Y25" ca="1" si="20">AO23-O23</f>
        <v>0</v>
      </c>
      <c r="Z23" s="656"/>
      <c r="AB23" s="427"/>
      <c r="AC23" s="594"/>
      <c r="AD23" s="594"/>
      <c r="AE23" s="594"/>
      <c r="AF23" s="594"/>
      <c r="AG23" s="594"/>
      <c r="AH23" s="594"/>
      <c r="AI23" s="594"/>
      <c r="AJ23" s="594"/>
      <c r="AK23" s="594"/>
      <c r="AL23" s="594"/>
      <c r="AM23" s="428"/>
      <c r="AO23">
        <f ca="1">IF($A23="S",IF(BM!$I23=0,0,CHOOSE(MATCH(RegimeExecucao,{"Global","Unitário"},0),ROUND(ROUND(BM.MEDAcumulado,15-13*BM!$A$9)/100*BM!$I23,15-13*ORÇAMENTO!$AF$11),ROUND(ROUND(BM.MEDAcumulado,15-13*BM!$A$9)*ROUND(BM!$H23,15-13*ORÇAMENTO!$AF$10),15-13*ORÇAMENTO!$AF$11))),IF($A23=0,0,ROUND(SomaAgrupBM,15-13*ORÇAMENTO!$AF$11)))</f>
        <v>0</v>
      </c>
    </row>
    <row r="24" spans="1:41">
      <c r="A24" t="str">
        <f ca="1">ORÇAMENTO!C24</f>
        <v>S</v>
      </c>
      <c r="B24">
        <f ca="1">ORÇAMENTO!D24</f>
        <v>0</v>
      </c>
      <c r="C24" s="139" t="str">
        <f t="shared" ca="1" si="15"/>
        <v/>
      </c>
      <c r="D24" s="142" t="str">
        <f ca="1">ORÇAMENTO!O24</f>
        <v>-</v>
      </c>
      <c r="E24" s="202" t="str">
        <f t="shared" ca="1" si="8"/>
        <v>(abra o arquivo 'Referência 07-2024.xlsm)</v>
      </c>
      <c r="F24" s="203" t="str">
        <f ca="1">IF(RegimeExecucao="Global","",ORÇAMENTO.Unidade)</f>
        <v>-</v>
      </c>
      <c r="G24" s="147">
        <f ca="1">IF(RegimeExecucao="Global","",ORÇAMENTO!T24)</f>
        <v>90</v>
      </c>
      <c r="H24" s="147">
        <f ca="1">IF(RegimeExecucao="Global","",ORÇAMENTO!W24)</f>
        <v>0</v>
      </c>
      <c r="I24" s="150">
        <f ca="1">ORÇAMENTO!X24</f>
        <v>0</v>
      </c>
      <c r="J24" s="423">
        <f ca="1">IF($A24="S",IF(CAIXA.Modo,BM.AFAnterior,BM.MEDAnterior),IF(AND(RegimeExecucao="Global",$I24&gt;0,COUNTIF($AB$13:$AM$13,BM.medicao-1)&gt;0),M24/$I24*100,0))</f>
        <v>0</v>
      </c>
      <c r="K24" s="147">
        <f t="shared" ca="1" si="16"/>
        <v>0</v>
      </c>
      <c r="L24" s="424">
        <f ca="1">IF($A24="S",IF(CAIXA.Modo,BM.AFAcumulado,BM.MEDAcumulado),IF(AND(RegimeExecucao="Global",$I24&gt;0,COUNTIF($AB$13:$AM$13,BM.medicao)&gt;0),O24/$I24*100,0))</f>
        <v>0</v>
      </c>
      <c r="M24" s="425">
        <f ca="1">IF($A24="S",VTOTALBM,IF($A24=0,0,ROUND(SomaAgrupBM,15-13*ORÇAMENTO!$AF$11)))</f>
        <v>0</v>
      </c>
      <c r="N24" s="426">
        <f t="shared" ca="1" si="17"/>
        <v>0</v>
      </c>
      <c r="O24" s="150">
        <f ca="1">IF($A24="S",VTOTALBM,IF($A24=0,0,ROUND(SomaAgrupBM,15-13*ORÇAMENTO!$AF$11)))</f>
        <v>0</v>
      </c>
      <c r="Q24" s="427"/>
      <c r="R24" s="428"/>
      <c r="T24" s="142" t="str">
        <f t="shared" ca="1" si="18"/>
        <v/>
      </c>
      <c r="U24" s="202" t="str">
        <f t="shared" ca="1" si="19"/>
        <v/>
      </c>
      <c r="V24" s="203" t="str">
        <f ca="1">IF(AND($W24&gt;0,RegimeExecucao="Unitário"),$F24,"")</f>
        <v/>
      </c>
      <c r="W24" s="629">
        <f ca="1">IF($Y24&gt;0,CHOOSE(MATCH(RegimeExecucao,{"Unitário","Global"},0),IF($A24="S",$Y24/$X24,""),($Y24/$X24)*100),0)</f>
        <v>0</v>
      </c>
      <c r="X24" s="429" t="str">
        <f ca="1">IF($Y24&gt;0,CHOOSE(MATCH(RegimeExecucao,{"Unitário","Global"},0),IF($A24="S",ROUND($H24,ORÇAMENTO!$AF$10),""),ROUND($I24,ORÇAMENTO!$AF$11)),"")</f>
        <v/>
      </c>
      <c r="Y24" s="429">
        <f t="shared" ca="1" si="20"/>
        <v>0</v>
      </c>
      <c r="Z24" s="656"/>
      <c r="AB24" s="427"/>
      <c r="AC24" s="594"/>
      <c r="AD24" s="594"/>
      <c r="AE24" s="594"/>
      <c r="AF24" s="594"/>
      <c r="AG24" s="594"/>
      <c r="AH24" s="594"/>
      <c r="AI24" s="594"/>
      <c r="AJ24" s="594"/>
      <c r="AK24" s="594"/>
      <c r="AL24" s="594"/>
      <c r="AM24" s="428"/>
      <c r="AO24">
        <f ca="1">IF($A24="S",IF(BM!$I24=0,0,CHOOSE(MATCH(RegimeExecucao,{"Global","Unitário"},0),ROUND(ROUND(BM.MEDAcumulado,15-13*BM!$A$9)/100*BM!$I24,15-13*ORÇAMENTO!$AF$11),ROUND(ROUND(BM.MEDAcumulado,15-13*BM!$A$9)*ROUND(BM!$H24,15-13*ORÇAMENTO!$AF$10),15-13*ORÇAMENTO!$AF$11))),IF($A24=0,0,ROUND(SomaAgrupBM,15-13*ORÇAMENTO!$AF$11)))</f>
        <v>0</v>
      </c>
    </row>
    <row r="25" spans="1:41" ht="25.5">
      <c r="A25" t="str">
        <f ca="1">ORÇAMENTO!C25</f>
        <v>S</v>
      </c>
      <c r="B25">
        <f ca="1">ORÇAMENTO!D25</f>
        <v>0</v>
      </c>
      <c r="C25" s="139" t="str">
        <f t="shared" ca="1" si="15"/>
        <v/>
      </c>
      <c r="D25" s="142" t="str">
        <f ca="1">ORÇAMENTO!O25</f>
        <v>-</v>
      </c>
      <c r="E25" s="202" t="str">
        <f t="shared" ca="1" si="8"/>
        <v>(abra o arquivo 'Referência 07-2024.xlsm)</v>
      </c>
      <c r="F25" s="203" t="str">
        <f ca="1">IF(RegimeExecucao="Global","",ORÇAMENTO.Unidade)</f>
        <v>-</v>
      </c>
      <c r="G25" s="147">
        <f ca="1">IF(RegimeExecucao="Global","",ORÇAMENTO!T25)</f>
        <v>26.66</v>
      </c>
      <c r="H25" s="147">
        <f ca="1">IF(RegimeExecucao="Global","",ORÇAMENTO!W25)</f>
        <v>0</v>
      </c>
      <c r="I25" s="150">
        <f ca="1">ORÇAMENTO!X25</f>
        <v>0</v>
      </c>
      <c r="J25" s="423">
        <f ca="1">IF($A25="S",IF(CAIXA.Modo,BM.AFAnterior,BM.MEDAnterior),IF(AND(RegimeExecucao="Global",$I25&gt;0,COUNTIF($AB$13:$AM$13,BM.medicao-1)&gt;0),M25/$I25*100,0))</f>
        <v>0</v>
      </c>
      <c r="K25" s="147">
        <f t="shared" ca="1" si="16"/>
        <v>0</v>
      </c>
      <c r="L25" s="424">
        <f ca="1">IF($A25="S",IF(CAIXA.Modo,BM.AFAcumulado,BM.MEDAcumulado),IF(AND(RegimeExecucao="Global",$I25&gt;0,COUNTIF($AB$13:$AM$13,BM.medicao)&gt;0),O25/$I25*100,0))</f>
        <v>0</v>
      </c>
      <c r="M25" s="425">
        <f ca="1">IF($A25="S",VTOTALBM,IF($A25=0,0,ROUND(SomaAgrupBM,15-13*ORÇAMENTO!$AF$11)))</f>
        <v>0</v>
      </c>
      <c r="N25" s="426">
        <f t="shared" ca="1" si="17"/>
        <v>0</v>
      </c>
      <c r="O25" s="150">
        <f ca="1">IF($A25="S",VTOTALBM,IF($A25=0,0,ROUND(SomaAgrupBM,15-13*ORÇAMENTO!$AF$11)))</f>
        <v>0</v>
      </c>
      <c r="Q25" s="427"/>
      <c r="R25" s="428"/>
      <c r="T25" s="142" t="str">
        <f t="shared" ca="1" si="18"/>
        <v/>
      </c>
      <c r="U25" s="202" t="str">
        <f t="shared" ca="1" si="19"/>
        <v/>
      </c>
      <c r="V25" s="203" t="str">
        <f ca="1">IF(AND($W25&gt;0,RegimeExecucao="Unitário"),$F25,"")</f>
        <v/>
      </c>
      <c r="W25" s="629">
        <f ca="1">IF($Y25&gt;0,CHOOSE(MATCH(RegimeExecucao,{"Unitário","Global"},0),IF($A25="S",$Y25/$X25,""),($Y25/$X25)*100),0)</f>
        <v>0</v>
      </c>
      <c r="X25" s="429" t="str">
        <f ca="1">IF($Y25&gt;0,CHOOSE(MATCH(RegimeExecucao,{"Unitário","Global"},0),IF($A25="S",ROUND($H25,ORÇAMENTO!$AF$10),""),ROUND($I25,ORÇAMENTO!$AF$11)),"")</f>
        <v/>
      </c>
      <c r="Y25" s="429">
        <f t="shared" ca="1" si="20"/>
        <v>0</v>
      </c>
      <c r="Z25" s="656"/>
      <c r="AB25" s="427"/>
      <c r="AC25" s="594"/>
      <c r="AD25" s="594"/>
      <c r="AE25" s="594"/>
      <c r="AF25" s="594"/>
      <c r="AG25" s="594"/>
      <c r="AH25" s="594"/>
      <c r="AI25" s="594"/>
      <c r="AJ25" s="594"/>
      <c r="AK25" s="594"/>
      <c r="AL25" s="594"/>
      <c r="AM25" s="428"/>
      <c r="AO25">
        <f ca="1">IF($A25="S",IF(BM!$I25=0,0,CHOOSE(MATCH(RegimeExecucao,{"Global","Unitário"},0),ROUND(ROUND(BM.MEDAcumulado,15-13*BM!$A$9)/100*BM!$I25,15-13*ORÇAMENTO!$AF$11),ROUND(ROUND(BM.MEDAcumulado,15-13*BM!$A$9)*ROUND(BM!$H25,15-13*ORÇAMENTO!$AF$10),15-13*ORÇAMENTO!$AF$11))),IF($A25=0,0,ROUND(SomaAgrupBM,15-13*ORÇAMENTO!$AF$11)))</f>
        <v>0</v>
      </c>
    </row>
    <row r="26" spans="1:41">
      <c r="A26">
        <f ca="1">ORÇAMENTO!C26</f>
        <v>2</v>
      </c>
      <c r="B26">
        <f ca="1">ORÇAMENTO!D26</f>
        <v>2</v>
      </c>
      <c r="C26" s="139" t="str">
        <f t="shared" ca="1" si="1"/>
        <v>F</v>
      </c>
      <c r="D26" s="142" t="str">
        <f ca="1">ORÇAMENTO!O26</f>
        <v>1.3.</v>
      </c>
      <c r="E26" s="202" t="str">
        <f t="shared" ca="1" si="2"/>
        <v>MOBILIZAÇÃO</v>
      </c>
      <c r="F26" s="203" t="str">
        <f ca="1">IF(RegimeExecucao="Global","",ORÇAMENTO.Unidade)</f>
        <v>-</v>
      </c>
      <c r="G26" s="147">
        <f ca="1">IF(RegimeExecucao="Global","",ORÇAMENTO!T26)</f>
        <v>0</v>
      </c>
      <c r="H26" s="147">
        <f ca="1">IF(RegimeExecucao="Global","",ORÇAMENTO!W26)</f>
        <v>0</v>
      </c>
      <c r="I26" s="150">
        <f ca="1">ORÇAMENTO!X26</f>
        <v>4133.84</v>
      </c>
      <c r="J26" s="423">
        <f ca="1">IF($A26="S",IF(CAIXA.Modo,BM.AFAnterior,BM.MEDAnterior),IF(AND(RegimeExecucao="Global",$I26&gt;0,COUNTIF($AB$13:$AM$13,BM.medicao-1)&gt;0),M26/$I26*100,0))</f>
        <v>0</v>
      </c>
      <c r="K26" s="147">
        <f t="shared" ca="1" si="3"/>
        <v>0</v>
      </c>
      <c r="L26" s="424">
        <f ca="1">IF($A26="S",IF(CAIXA.Modo,BM.AFAcumulado,BM.MEDAcumulado),IF(AND(RegimeExecucao="Global",$I26&gt;0,COUNTIF($AB$13:$AM$13,BM.medicao)&gt;0),O26/$I26*100,0))</f>
        <v>0</v>
      </c>
      <c r="M26" s="425">
        <f ca="1">IF($A26="S",VTOTALBM,IF($A26=0,0,ROUND(SomaAgrupBM,15-13*ORÇAMENTO!$AF$11)))</f>
        <v>0</v>
      </c>
      <c r="N26" s="426">
        <f t="shared" ca="1" si="4"/>
        <v>0</v>
      </c>
      <c r="O26" s="150">
        <f ca="1">IF($A26="S",VTOTALBM,IF($A26=0,0,ROUND(SomaAgrupBM,15-13*ORÇAMENTO!$AF$11)))</f>
        <v>0</v>
      </c>
      <c r="Q26" s="427"/>
      <c r="R26" s="428"/>
      <c r="T26" s="142" t="str">
        <f t="shared" ca="1" si="5"/>
        <v/>
      </c>
      <c r="U26" s="202" t="str">
        <f t="shared" ca="1" si="6"/>
        <v/>
      </c>
      <c r="V26" s="203" t="str">
        <f ca="1">IF(AND($W26&gt;0,RegimeExecucao="Unitário"),$F26,"")</f>
        <v/>
      </c>
      <c r="W26" s="629">
        <f ca="1">IF($Y26&gt;0,CHOOSE(MATCH(RegimeExecucao,{"Unitário","Global"},0),IF($A26="S",$Y26/$X26,""),($Y26/$X26)*100),0)</f>
        <v>0</v>
      </c>
      <c r="X26" s="429" t="str">
        <f ca="1">IF($Y26&gt;0,CHOOSE(MATCH(RegimeExecucao,{"Unitário","Global"},0),IF($A26="S",ROUND($H26,ORÇAMENTO!$AF$10),""),ROUND($I26,ORÇAMENTO!$AF$11)),"")</f>
        <v/>
      </c>
      <c r="Y26" s="429">
        <f t="shared" ca="1" si="7"/>
        <v>0</v>
      </c>
      <c r="Z26" s="656"/>
      <c r="AB26" s="427"/>
      <c r="AC26" s="594"/>
      <c r="AD26" s="594"/>
      <c r="AE26" s="594"/>
      <c r="AF26" s="594"/>
      <c r="AG26" s="594"/>
      <c r="AH26" s="594"/>
      <c r="AI26" s="594"/>
      <c r="AJ26" s="594"/>
      <c r="AK26" s="594"/>
      <c r="AL26" s="594"/>
      <c r="AM26" s="428"/>
      <c r="AO26">
        <f ca="1">IF($A26="S",IF(BM!$I26=0,0,CHOOSE(MATCH(RegimeExecucao,{"Global","Unitário"},0),ROUND(ROUND(BM.MEDAcumulado,15-13*BM!$A$9)/100*BM!$I26,15-13*ORÇAMENTO!$AF$11),ROUND(ROUND(BM.MEDAcumulado,15-13*BM!$A$9)*ROUND(BM!$H26,15-13*ORÇAMENTO!$AF$10),15-13*ORÇAMENTO!$AF$11))),IF($A26=0,0,ROUND(SomaAgrupBM,15-13*ORÇAMENTO!$AF$11)))</f>
        <v>0</v>
      </c>
    </row>
    <row r="27" spans="1:41" ht="25.5">
      <c r="A27" t="str">
        <f ca="1">ORÇAMENTO!C27</f>
        <v>S</v>
      </c>
      <c r="B27">
        <f ca="1">ORÇAMENTO!D27</f>
        <v>0</v>
      </c>
      <c r="C27" s="139" t="str">
        <f t="shared" ca="1" si="1"/>
        <v>F</v>
      </c>
      <c r="D27" s="142" t="str">
        <f ca="1">ORÇAMENTO!O27</f>
        <v>1.3.1.</v>
      </c>
      <c r="E27" s="202" t="str">
        <f t="shared" ca="1" si="2"/>
        <v>(abra o arquivo 'Referência 07-2024.xlsm)</v>
      </c>
      <c r="F27" s="203" t="str">
        <f ca="1">IF(RegimeExecucao="Global","",ORÇAMENTO.Unidade)</f>
        <v>-</v>
      </c>
      <c r="G27" s="147">
        <f ca="1">IF(RegimeExecucao="Global","",ORÇAMENTO!T27)</f>
        <v>6561.65</v>
      </c>
      <c r="H27" s="147">
        <f ca="1">IF(RegimeExecucao="Global","",ORÇAMENTO!W27)</f>
        <v>0.63</v>
      </c>
      <c r="I27" s="150">
        <f ca="1">ORÇAMENTO!X27</f>
        <v>4133.84</v>
      </c>
      <c r="J27" s="423">
        <f ca="1">IF($A27="S",IF(CAIXA.Modo,BM.AFAnterior,BM.MEDAnterior),IF(AND(RegimeExecucao="Global",$I27&gt;0,COUNTIF($AB$13:$AM$13,BM.medicao-1)&gt;0),M27/$I27*100,0))</f>
        <v>0</v>
      </c>
      <c r="K27" s="147">
        <f t="shared" ca="1" si="3"/>
        <v>0</v>
      </c>
      <c r="L27" s="424">
        <f ca="1">IF($A27="S",IF(CAIXA.Modo,BM.AFAcumulado,BM.MEDAcumulado),IF(AND(RegimeExecucao="Global",$I27&gt;0,COUNTIF($AB$13:$AM$13,BM.medicao)&gt;0),O27/$I27*100,0))</f>
        <v>0</v>
      </c>
      <c r="M27" s="425">
        <f ca="1">IF($A27="S",VTOTALBM,IF($A27=0,0,ROUND(SomaAgrupBM,15-13*ORÇAMENTO!$AF$11)))</f>
        <v>0</v>
      </c>
      <c r="N27" s="426">
        <f t="shared" ca="1" si="4"/>
        <v>0</v>
      </c>
      <c r="O27" s="150">
        <f ca="1">IF($A27="S",VTOTALBM,IF($A27=0,0,ROUND(SomaAgrupBM,15-13*ORÇAMENTO!$AF$11)))</f>
        <v>0</v>
      </c>
      <c r="Q27" s="427"/>
      <c r="R27" s="428"/>
      <c r="T27" s="142" t="str">
        <f t="shared" ca="1" si="5"/>
        <v/>
      </c>
      <c r="U27" s="202" t="str">
        <f t="shared" ca="1" si="6"/>
        <v/>
      </c>
      <c r="V27" s="203" t="str">
        <f ca="1">IF(AND($W27&gt;0,RegimeExecucao="Unitário"),$F27,"")</f>
        <v/>
      </c>
      <c r="W27" s="629">
        <f ca="1">IF($Y27&gt;0,CHOOSE(MATCH(RegimeExecucao,{"Unitário","Global"},0),IF($A27="S",$Y27/$X27,""),($Y27/$X27)*100),0)</f>
        <v>0</v>
      </c>
      <c r="X27" s="429" t="str">
        <f ca="1">IF($Y27&gt;0,CHOOSE(MATCH(RegimeExecucao,{"Unitário","Global"},0),IF($A27="S",ROUND($H27,ORÇAMENTO!$AF$10),""),ROUND($I27,ORÇAMENTO!$AF$11)),"")</f>
        <v/>
      </c>
      <c r="Y27" s="429">
        <f t="shared" ca="1" si="7"/>
        <v>0</v>
      </c>
      <c r="Z27" s="656"/>
      <c r="AB27" s="427"/>
      <c r="AC27" s="594"/>
      <c r="AD27" s="594"/>
      <c r="AE27" s="594"/>
      <c r="AF27" s="594"/>
      <c r="AG27" s="594"/>
      <c r="AH27" s="594"/>
      <c r="AI27" s="594"/>
      <c r="AJ27" s="594"/>
      <c r="AK27" s="594"/>
      <c r="AL27" s="594"/>
      <c r="AM27" s="428"/>
      <c r="AO27">
        <f ca="1">IF($A27="S",IF(BM!$I27=0,0,CHOOSE(MATCH(RegimeExecucao,{"Global","Unitário"},0),ROUND(ROUND(BM.MEDAcumulado,15-13*BM!$A$9)/100*BM!$I27,15-13*ORÇAMENTO!$AF$11),ROUND(ROUND(BM.MEDAcumulado,15-13*BM!$A$9)*ROUND(BM!$H27,15-13*ORÇAMENTO!$AF$10),15-13*ORÇAMENTO!$AF$11))),IF($A27=0,0,ROUND(SomaAgrupBM,15-13*ORÇAMENTO!$AF$11)))</f>
        <v>0</v>
      </c>
    </row>
    <row r="28" spans="1:41">
      <c r="A28">
        <f ca="1">ORÇAMENTO!C28</f>
        <v>2</v>
      </c>
      <c r="B28">
        <f ca="1">ORÇAMENTO!D28</f>
        <v>9</v>
      </c>
      <c r="C28" s="139" t="str">
        <f t="shared" ca="1" si="1"/>
        <v>F</v>
      </c>
      <c r="D28" s="142" t="str">
        <f ca="1">ORÇAMENTO!O28</f>
        <v>1.4.</v>
      </c>
      <c r="E28" s="202" t="str">
        <f t="shared" ca="1" si="2"/>
        <v>RECAPEAMENTO ASFÁLTICO</v>
      </c>
      <c r="F28" s="203" t="str">
        <f ca="1">IF(RegimeExecucao="Global","",ORÇAMENTO.Unidade)</f>
        <v>-</v>
      </c>
      <c r="G28" s="147">
        <f ca="1">IF(RegimeExecucao="Global","",ORÇAMENTO!T28)</f>
        <v>0</v>
      </c>
      <c r="H28" s="147">
        <f ca="1">IF(RegimeExecucao="Global","",ORÇAMENTO!W28)</f>
        <v>0</v>
      </c>
      <c r="I28" s="150">
        <f ca="1">ORÇAMENTO!X28</f>
        <v>0</v>
      </c>
      <c r="J28" s="423">
        <f ca="1">IF($A28="S",IF(CAIXA.Modo,BM.AFAnterior,BM.MEDAnterior),IF(AND(RegimeExecucao="Global",$I28&gt;0,COUNTIF($AB$13:$AM$13,BM.medicao-1)&gt;0),M28/$I28*100,0))</f>
        <v>0</v>
      </c>
      <c r="K28" s="147">
        <f t="shared" ca="1" si="3"/>
        <v>0</v>
      </c>
      <c r="L28" s="424">
        <f ca="1">IF($A28="S",IF(CAIXA.Modo,BM.AFAcumulado,BM.MEDAcumulado),IF(AND(RegimeExecucao="Global",$I28&gt;0,COUNTIF($AB$13:$AM$13,BM.medicao)&gt;0),O28/$I28*100,0))</f>
        <v>0</v>
      </c>
      <c r="M28" s="425">
        <f ca="1">IF($A28="S",VTOTALBM,IF($A28=0,0,ROUND(SomaAgrupBM,15-13*ORÇAMENTO!$AF$11)))</f>
        <v>0</v>
      </c>
      <c r="N28" s="426">
        <f t="shared" ca="1" si="4"/>
        <v>0</v>
      </c>
      <c r="O28" s="150">
        <f ca="1">IF($A28="S",VTOTALBM,IF($A28=0,0,ROUND(SomaAgrupBM,15-13*ORÇAMENTO!$AF$11)))</f>
        <v>0</v>
      </c>
      <c r="Q28" s="427"/>
      <c r="R28" s="428"/>
      <c r="T28" s="142" t="str">
        <f t="shared" ca="1" si="5"/>
        <v/>
      </c>
      <c r="U28" s="202" t="str">
        <f t="shared" ca="1" si="6"/>
        <v/>
      </c>
      <c r="V28" s="203" t="str">
        <f ca="1">IF(AND($W28&gt;0,RegimeExecucao="Unitário"),$F28,"")</f>
        <v/>
      </c>
      <c r="W28" s="629">
        <f ca="1">IF($Y28&gt;0,CHOOSE(MATCH(RegimeExecucao,{"Unitário","Global"},0),IF($A28="S",$Y28/$X28,""),($Y28/$X28)*100),0)</f>
        <v>0</v>
      </c>
      <c r="X28" s="429" t="str">
        <f ca="1">IF($Y28&gt;0,CHOOSE(MATCH(RegimeExecucao,{"Unitário","Global"},0),IF($A28="S",ROUND($H28,ORÇAMENTO!$AF$10),""),ROUND($I28,ORÇAMENTO!$AF$11)),"")</f>
        <v/>
      </c>
      <c r="Y28" s="429">
        <f t="shared" ca="1" si="7"/>
        <v>0</v>
      </c>
      <c r="Z28" s="656"/>
      <c r="AB28" s="427"/>
      <c r="AC28" s="594"/>
      <c r="AD28" s="594"/>
      <c r="AE28" s="594"/>
      <c r="AF28" s="594"/>
      <c r="AG28" s="594"/>
      <c r="AH28" s="594"/>
      <c r="AI28" s="594"/>
      <c r="AJ28" s="594"/>
      <c r="AK28" s="594"/>
      <c r="AL28" s="594"/>
      <c r="AM28" s="428"/>
      <c r="AO28">
        <f ca="1">IF($A28="S",IF(BM!$I28=0,0,CHOOSE(MATCH(RegimeExecucao,{"Global","Unitário"},0),ROUND(ROUND(BM.MEDAcumulado,15-13*BM!$A$9)/100*BM!$I28,15-13*ORÇAMENTO!$AF$11),ROUND(ROUND(BM.MEDAcumulado,15-13*BM!$A$9)*ROUND(BM!$H28,15-13*ORÇAMENTO!$AF$10),15-13*ORÇAMENTO!$AF$11))),IF($A28=0,0,ROUND(SomaAgrupBM,15-13*ORÇAMENTO!$AF$11)))</f>
        <v>0</v>
      </c>
    </row>
    <row r="29" spans="1:41" ht="25.5">
      <c r="A29" t="str">
        <f ca="1">ORÇAMENTO!C29</f>
        <v>S</v>
      </c>
      <c r="B29">
        <f ca="1">ORÇAMENTO!D29</f>
        <v>0</v>
      </c>
      <c r="C29" s="139" t="str">
        <f t="shared" ca="1" si="1"/>
        <v/>
      </c>
      <c r="D29" s="142" t="str">
        <f ca="1">ORÇAMENTO!O29</f>
        <v>-</v>
      </c>
      <c r="E29" s="202" t="str">
        <f t="shared" ca="1" si="2"/>
        <v>(abra o arquivo 'Referência 07-2024.xlsm)</v>
      </c>
      <c r="F29" s="203" t="str">
        <f ca="1">IF(RegimeExecucao="Global","",ORÇAMENTO.Unidade)</f>
        <v>-</v>
      </c>
      <c r="G29" s="147">
        <f ca="1">IF(RegimeExecucao="Global","",ORÇAMENTO!T29)</f>
        <v>4316.5600000000004</v>
      </c>
      <c r="H29" s="147">
        <f ca="1">IF(RegimeExecucao="Global","",ORÇAMENTO!W29)</f>
        <v>0</v>
      </c>
      <c r="I29" s="150">
        <f ca="1">ORÇAMENTO!X29</f>
        <v>0</v>
      </c>
      <c r="J29" s="423">
        <f ca="1">IF($A29="S",IF(CAIXA.Modo,BM.AFAnterior,BM.MEDAnterior),IF(AND(RegimeExecucao="Global",$I29&gt;0,COUNTIF($AB$13:$AM$13,BM.medicao-1)&gt;0),M29/$I29*100,0))</f>
        <v>0</v>
      </c>
      <c r="K29" s="147">
        <f t="shared" ca="1" si="3"/>
        <v>0</v>
      </c>
      <c r="L29" s="424">
        <f ca="1">IF($A29="S",IF(CAIXA.Modo,BM.AFAcumulado,BM.MEDAcumulado),IF(AND(RegimeExecucao="Global",$I29&gt;0,COUNTIF($AB$13:$AM$13,BM.medicao)&gt;0),O29/$I29*100,0))</f>
        <v>0</v>
      </c>
      <c r="M29" s="425">
        <f ca="1">IF($A29="S",VTOTALBM,IF($A29=0,0,ROUND(SomaAgrupBM,15-13*ORÇAMENTO!$AF$11)))</f>
        <v>0</v>
      </c>
      <c r="N29" s="426">
        <f t="shared" ca="1" si="4"/>
        <v>0</v>
      </c>
      <c r="O29" s="150">
        <f ca="1">IF($A29="S",VTOTALBM,IF($A29=0,0,ROUND(SomaAgrupBM,15-13*ORÇAMENTO!$AF$11)))</f>
        <v>0</v>
      </c>
      <c r="Q29" s="427"/>
      <c r="R29" s="428"/>
      <c r="T29" s="142" t="str">
        <f t="shared" ca="1" si="5"/>
        <v/>
      </c>
      <c r="U29" s="202" t="str">
        <f t="shared" ca="1" si="6"/>
        <v/>
      </c>
      <c r="V29" s="203" t="str">
        <f ca="1">IF(AND($W29&gt;0,RegimeExecucao="Unitário"),$F29,"")</f>
        <v/>
      </c>
      <c r="W29" s="629">
        <f ca="1">IF($Y29&gt;0,CHOOSE(MATCH(RegimeExecucao,{"Unitário","Global"},0),IF($A29="S",$Y29/$X29,""),($Y29/$X29)*100),0)</f>
        <v>0</v>
      </c>
      <c r="X29" s="429" t="str">
        <f ca="1">IF($Y29&gt;0,CHOOSE(MATCH(RegimeExecucao,{"Unitário","Global"},0),IF($A29="S",ROUND($H29,ORÇAMENTO!$AF$10),""),ROUND($I29,ORÇAMENTO!$AF$11)),"")</f>
        <v/>
      </c>
      <c r="Y29" s="429">
        <f t="shared" ca="1" si="7"/>
        <v>0</v>
      </c>
      <c r="Z29" s="656"/>
      <c r="AB29" s="427"/>
      <c r="AC29" s="594"/>
      <c r="AD29" s="594"/>
      <c r="AE29" s="594"/>
      <c r="AF29" s="594"/>
      <c r="AG29" s="594"/>
      <c r="AH29" s="594"/>
      <c r="AI29" s="594"/>
      <c r="AJ29" s="594"/>
      <c r="AK29" s="594"/>
      <c r="AL29" s="594"/>
      <c r="AM29" s="428"/>
      <c r="AO29">
        <f ca="1">IF($A29="S",IF(BM!$I29=0,0,CHOOSE(MATCH(RegimeExecucao,{"Global","Unitário"},0),ROUND(ROUND(BM.MEDAcumulado,15-13*BM!$A$9)/100*BM!$I29,15-13*ORÇAMENTO!$AF$11),ROUND(ROUND(BM.MEDAcumulado,15-13*BM!$A$9)*ROUND(BM!$H29,15-13*ORÇAMENTO!$AF$10),15-13*ORÇAMENTO!$AF$11))),IF($A29=0,0,ROUND(SomaAgrupBM,15-13*ORÇAMENTO!$AF$11)))</f>
        <v>0</v>
      </c>
    </row>
    <row r="30" spans="1:41" ht="51">
      <c r="A30" t="str">
        <f ca="1">ORÇAMENTO!C30</f>
        <v>S</v>
      </c>
      <c r="B30">
        <f ca="1">ORÇAMENTO!D30</f>
        <v>0</v>
      </c>
      <c r="C30" s="139" t="str">
        <f ca="1">IF(OR($I30&gt;0,$A30=1,$A30=2,$A30=3,$A30=4),"F","")</f>
        <v/>
      </c>
      <c r="D30" s="142" t="str">
        <f ca="1">ORÇAMENTO!O30</f>
        <v>-</v>
      </c>
      <c r="E30" s="202" t="str">
        <f ca="1">ORÇAMENTO.Descricao</f>
        <v>(abra o arquivo 'Referência 07-2024.xlsm)</v>
      </c>
      <c r="F30" s="203" t="str">
        <f ca="1">IF(RegimeExecucao="Global","",ORÇAMENTO.Unidade)</f>
        <v>-</v>
      </c>
      <c r="G30" s="147">
        <f ca="1">IF(RegimeExecucao="Global","",ORÇAMENTO!T30)</f>
        <v>429.49</v>
      </c>
      <c r="H30" s="147">
        <f ca="1">IF(RegimeExecucao="Global","",ORÇAMENTO!W30)</f>
        <v>0</v>
      </c>
      <c r="I30" s="150">
        <f ca="1">ORÇAMENTO!X30</f>
        <v>0</v>
      </c>
      <c r="J30" s="423">
        <f ca="1">IF($A30="S",IF(CAIXA.Modo,BM.AFAnterior,BM.MEDAnterior),IF(AND(RegimeExecucao="Global",$I30&gt;0,COUNTIF($AB$13:$AM$13,BM.medicao-1)&gt;0),M30/$I30*100,0))</f>
        <v>0</v>
      </c>
      <c r="K30" s="147">
        <f ca="1">L30-J30</f>
        <v>0</v>
      </c>
      <c r="L30" s="424">
        <f ca="1">IF($A30="S",IF(CAIXA.Modo,BM.AFAcumulado,BM.MEDAcumulado),IF(AND(RegimeExecucao="Global",$I30&gt;0,COUNTIF($AB$13:$AM$13,BM.medicao)&gt;0),O30/$I30*100,0))</f>
        <v>0</v>
      </c>
      <c r="M30" s="425">
        <f ca="1">IF($A30="S",VTOTALBM,IF($A30=0,0,ROUND(SomaAgrupBM,15-13*ORÇAMENTO!$AF$11)))</f>
        <v>0</v>
      </c>
      <c r="N30" s="426">
        <f ca="1">O30-M30</f>
        <v>0</v>
      </c>
      <c r="O30" s="150">
        <f ca="1">IF($A30="S",VTOTALBM,IF($A30=0,0,ROUND(SomaAgrupBM,15-13*ORÇAMENTO!$AF$11)))</f>
        <v>0</v>
      </c>
      <c r="Q30" s="427"/>
      <c r="R30" s="428"/>
      <c r="T30" s="142" t="str">
        <f ca="1">IF($W30&gt;0,$D30,"")</f>
        <v/>
      </c>
      <c r="U30" s="202" t="str">
        <f ca="1">IF($W30&gt;0,$E30,"")</f>
        <v/>
      </c>
      <c r="V30" s="203" t="str">
        <f ca="1">IF(AND($W30&gt;0,RegimeExecucao="Unitário"),$F30,"")</f>
        <v/>
      </c>
      <c r="W30" s="629">
        <f ca="1">IF($Y30&gt;0,CHOOSE(MATCH(RegimeExecucao,{"Unitário","Global"},0),IF($A30="S",$Y30/$X30,""),($Y30/$X30)*100),0)</f>
        <v>0</v>
      </c>
      <c r="X30" s="429" t="str">
        <f ca="1">IF($Y30&gt;0,CHOOSE(MATCH(RegimeExecucao,{"Unitário","Global"},0),IF($A30="S",ROUND($H30,ORÇAMENTO!$AF$10),""),ROUND($I30,ORÇAMENTO!$AF$11)),"")</f>
        <v/>
      </c>
      <c r="Y30" s="429">
        <f ca="1">AO30-O30</f>
        <v>0</v>
      </c>
      <c r="Z30" s="656"/>
      <c r="AB30" s="427"/>
      <c r="AC30" s="594"/>
      <c r="AD30" s="594"/>
      <c r="AE30" s="594"/>
      <c r="AF30" s="594"/>
      <c r="AG30" s="594"/>
      <c r="AH30" s="594"/>
      <c r="AI30" s="594"/>
      <c r="AJ30" s="594"/>
      <c r="AK30" s="594"/>
      <c r="AL30" s="594"/>
      <c r="AM30" s="428"/>
      <c r="AO30">
        <f ca="1">IF($A30="S",IF(BM!$I30=0,0,CHOOSE(MATCH(RegimeExecucao,{"Global","Unitário"},0),ROUND(ROUND(BM.MEDAcumulado,15-13*BM!$A$9)/100*BM!$I30,15-13*ORÇAMENTO!$AF$11),ROUND(ROUND(BM.MEDAcumulado,15-13*BM!$A$9)*ROUND(BM!$H30,15-13*ORÇAMENTO!$AF$10),15-13*ORÇAMENTO!$AF$11))),IF($A30=0,0,ROUND(SomaAgrupBM,15-13*ORÇAMENTO!$AF$11)))</f>
        <v>0</v>
      </c>
    </row>
    <row r="31" spans="1:41" ht="38.25">
      <c r="A31" t="str">
        <f ca="1">ORÇAMENTO!C31</f>
        <v>S</v>
      </c>
      <c r="B31">
        <f ca="1">ORÇAMENTO!D31</f>
        <v>0</v>
      </c>
      <c r="C31" s="139" t="str">
        <f t="shared" ca="1" si="1"/>
        <v/>
      </c>
      <c r="D31" s="142" t="str">
        <f ca="1">ORÇAMENTO!O31</f>
        <v>-</v>
      </c>
      <c r="E31" s="202" t="str">
        <f t="shared" ca="1" si="2"/>
        <v>(abra o arquivo 'Referência 07-2024.xlsm)</v>
      </c>
      <c r="F31" s="203" t="str">
        <f ca="1">IF(RegimeExecucao="Global","",ORÇAMENTO.Unidade)</f>
        <v>-</v>
      </c>
      <c r="G31" s="147">
        <f ca="1">IF(RegimeExecucao="Global","",ORÇAMENTO!T31)</f>
        <v>86.33</v>
      </c>
      <c r="H31" s="147">
        <f ca="1">IF(RegimeExecucao="Global","",ORÇAMENTO!W31)</f>
        <v>0</v>
      </c>
      <c r="I31" s="150">
        <f ca="1">ORÇAMENTO!X31</f>
        <v>0</v>
      </c>
      <c r="J31" s="423">
        <f ca="1">IF($A31="S",IF(CAIXA.Modo,BM.AFAnterior,BM.MEDAnterior),IF(AND(RegimeExecucao="Global",$I31&gt;0,COUNTIF($AB$13:$AM$13,BM.medicao-1)&gt;0),M31/$I31*100,0))</f>
        <v>0</v>
      </c>
      <c r="K31" s="147">
        <f t="shared" ca="1" si="3"/>
        <v>0</v>
      </c>
      <c r="L31" s="424">
        <f ca="1">IF($A31="S",IF(CAIXA.Modo,BM.AFAcumulado,BM.MEDAcumulado),IF(AND(RegimeExecucao="Global",$I31&gt;0,COUNTIF($AB$13:$AM$13,BM.medicao)&gt;0),O31/$I31*100,0))</f>
        <v>0</v>
      </c>
      <c r="M31" s="425">
        <f ca="1">IF($A31="S",VTOTALBM,IF($A31=0,0,ROUND(SomaAgrupBM,15-13*ORÇAMENTO!$AF$11)))</f>
        <v>0</v>
      </c>
      <c r="N31" s="426">
        <f t="shared" ca="1" si="4"/>
        <v>0</v>
      </c>
      <c r="O31" s="150">
        <f ca="1">IF($A31="S",VTOTALBM,IF($A31=0,0,ROUND(SomaAgrupBM,15-13*ORÇAMENTO!$AF$11)))</f>
        <v>0</v>
      </c>
      <c r="Q31" s="427"/>
      <c r="R31" s="428"/>
      <c r="T31" s="142" t="str">
        <f t="shared" ca="1" si="5"/>
        <v/>
      </c>
      <c r="U31" s="202" t="str">
        <f t="shared" ca="1" si="6"/>
        <v/>
      </c>
      <c r="V31" s="203" t="str">
        <f ca="1">IF(AND($W31&gt;0,RegimeExecucao="Unitário"),$F31,"")</f>
        <v/>
      </c>
      <c r="W31" s="629">
        <f ca="1">IF($Y31&gt;0,CHOOSE(MATCH(RegimeExecucao,{"Unitário","Global"},0),IF($A31="S",$Y31/$X31,""),($Y31/$X31)*100),0)</f>
        <v>0</v>
      </c>
      <c r="X31" s="429" t="str">
        <f ca="1">IF($Y31&gt;0,CHOOSE(MATCH(RegimeExecucao,{"Unitário","Global"},0),IF($A31="S",ROUND($H31,ORÇAMENTO!$AF$10),""),ROUND($I31,ORÇAMENTO!$AF$11)),"")</f>
        <v/>
      </c>
      <c r="Y31" s="429">
        <f t="shared" ca="1" si="7"/>
        <v>0</v>
      </c>
      <c r="Z31" s="656"/>
      <c r="AB31" s="427"/>
      <c r="AC31" s="594"/>
      <c r="AD31" s="594"/>
      <c r="AE31" s="594"/>
      <c r="AF31" s="594"/>
      <c r="AG31" s="594"/>
      <c r="AH31" s="594"/>
      <c r="AI31" s="594"/>
      <c r="AJ31" s="594"/>
      <c r="AK31" s="594"/>
      <c r="AL31" s="594"/>
      <c r="AM31" s="428"/>
      <c r="AO31">
        <f ca="1">IF($A31="S",IF(BM!$I31=0,0,CHOOSE(MATCH(RegimeExecucao,{"Global","Unitário"},0),ROUND(ROUND(BM.MEDAcumulado,15-13*BM!$A$9)/100*BM!$I31,15-13*ORÇAMENTO!$AF$11),ROUND(ROUND(BM.MEDAcumulado,15-13*BM!$A$9)*ROUND(BM!$H31,15-13*ORÇAMENTO!$AF$10),15-13*ORÇAMENTO!$AF$11))),IF($A31=0,0,ROUND(SomaAgrupBM,15-13*ORÇAMENTO!$AF$11)))</f>
        <v>0</v>
      </c>
    </row>
    <row r="32" spans="1:41" ht="38.25">
      <c r="A32" t="str">
        <f ca="1">ORÇAMENTO!C32</f>
        <v>S</v>
      </c>
      <c r="B32">
        <f ca="1">ORÇAMENTO!D32</f>
        <v>0</v>
      </c>
      <c r="C32" s="139" t="str">
        <f t="shared" ca="1" si="1"/>
        <v/>
      </c>
      <c r="D32" s="142" t="str">
        <f ca="1">ORÇAMENTO!O32</f>
        <v>-</v>
      </c>
      <c r="E32" s="202" t="str">
        <f t="shared" ca="1" si="2"/>
        <v>(abra o arquivo 'Referência 07-2024.xlsm)</v>
      </c>
      <c r="F32" s="203" t="str">
        <f ca="1">IF(RegimeExecucao="Global","",ORÇAMENTO.Unidade)</f>
        <v>-</v>
      </c>
      <c r="G32" s="147">
        <f ca="1">IF(RegimeExecucao="Global","",ORÇAMENTO!T32)</f>
        <v>3021.55</v>
      </c>
      <c r="H32" s="147">
        <f ca="1">IF(RegimeExecucao="Global","",ORÇAMENTO!W32)</f>
        <v>0</v>
      </c>
      <c r="I32" s="150">
        <f ca="1">ORÇAMENTO!X32</f>
        <v>0</v>
      </c>
      <c r="J32" s="423">
        <f ca="1">IF($A32="S",IF(CAIXA.Modo,BM.AFAnterior,BM.MEDAnterior),IF(AND(RegimeExecucao="Global",$I32&gt;0,COUNTIF($AB$13:$AM$13,BM.medicao-1)&gt;0),M32/$I32*100,0))</f>
        <v>0</v>
      </c>
      <c r="K32" s="147">
        <f t="shared" ca="1" si="3"/>
        <v>0</v>
      </c>
      <c r="L32" s="424">
        <f ca="1">IF($A32="S",IF(CAIXA.Modo,BM.AFAcumulado,BM.MEDAcumulado),IF(AND(RegimeExecucao="Global",$I32&gt;0,COUNTIF($AB$13:$AM$13,BM.medicao)&gt;0),O32/$I32*100,0))</f>
        <v>0</v>
      </c>
      <c r="M32" s="425">
        <f ca="1">IF($A32="S",VTOTALBM,IF($A32=0,0,ROUND(SomaAgrupBM,15-13*ORÇAMENTO!$AF$11)))</f>
        <v>0</v>
      </c>
      <c r="N32" s="426">
        <f t="shared" ca="1" si="4"/>
        <v>0</v>
      </c>
      <c r="O32" s="150">
        <f ca="1">IF($A32="S",VTOTALBM,IF($A32=0,0,ROUND(SomaAgrupBM,15-13*ORÇAMENTO!$AF$11)))</f>
        <v>0</v>
      </c>
      <c r="Q32" s="427"/>
      <c r="R32" s="428"/>
      <c r="T32" s="142" t="str">
        <f t="shared" ca="1" si="5"/>
        <v/>
      </c>
      <c r="U32" s="202" t="str">
        <f t="shared" ca="1" si="6"/>
        <v/>
      </c>
      <c r="V32" s="203" t="str">
        <f ca="1">IF(AND($W32&gt;0,RegimeExecucao="Unitário"),$F32,"")</f>
        <v/>
      </c>
      <c r="W32" s="629">
        <f ca="1">IF($Y32&gt;0,CHOOSE(MATCH(RegimeExecucao,{"Unitário","Global"},0),IF($A32="S",$Y32/$X32,""),($Y32/$X32)*100),0)</f>
        <v>0</v>
      </c>
      <c r="X32" s="429" t="str">
        <f ca="1">IF($Y32&gt;0,CHOOSE(MATCH(RegimeExecucao,{"Unitário","Global"},0),IF($A32="S",ROUND($H32,ORÇAMENTO!$AF$10),""),ROUND($I32,ORÇAMENTO!$AF$11)),"")</f>
        <v/>
      </c>
      <c r="Y32" s="429">
        <f t="shared" ca="1" si="7"/>
        <v>0</v>
      </c>
      <c r="Z32" s="656"/>
      <c r="AB32" s="427"/>
      <c r="AC32" s="594"/>
      <c r="AD32" s="594"/>
      <c r="AE32" s="594"/>
      <c r="AF32" s="594"/>
      <c r="AG32" s="594"/>
      <c r="AH32" s="594"/>
      <c r="AI32" s="594"/>
      <c r="AJ32" s="594"/>
      <c r="AK32" s="594"/>
      <c r="AL32" s="594"/>
      <c r="AM32" s="428"/>
      <c r="AO32">
        <f ca="1">IF($A32="S",IF(BM!$I32=0,0,CHOOSE(MATCH(RegimeExecucao,{"Global","Unitário"},0),ROUND(ROUND(BM.MEDAcumulado,15-13*BM!$A$9)/100*BM!$I32,15-13*ORÇAMENTO!$AF$11),ROUND(ROUND(BM.MEDAcumulado,15-13*BM!$A$9)*ROUND(BM!$H32,15-13*ORÇAMENTO!$AF$10),15-13*ORÇAMENTO!$AF$11))),IF($A32=0,0,ROUND(SomaAgrupBM,15-13*ORÇAMENTO!$AF$11)))</f>
        <v>0</v>
      </c>
    </row>
    <row r="33" spans="1:41" ht="25.5">
      <c r="A33" t="str">
        <f ca="1">ORÇAMENTO!C33</f>
        <v>S</v>
      </c>
      <c r="B33">
        <f ca="1">ORÇAMENTO!D33</f>
        <v>0</v>
      </c>
      <c r="C33" s="139" t="str">
        <f ca="1">IF(OR($I33&gt;0,$A33=1,$A33=2,$A33=3,$A33=4),"F","")</f>
        <v/>
      </c>
      <c r="D33" s="142" t="str">
        <f ca="1">ORÇAMENTO!O33</f>
        <v>-</v>
      </c>
      <c r="E33" s="202" t="str">
        <f ca="1">ORÇAMENTO.Descricao</f>
        <v>(abra o arquivo 'Referência 07-2024.xlsm)</v>
      </c>
      <c r="F33" s="203" t="str">
        <f ca="1">IF(RegimeExecucao="Global","",ORÇAMENTO.Unidade)</f>
        <v>-</v>
      </c>
      <c r="G33" s="147">
        <f ca="1">IF(RegimeExecucao="Global","",ORÇAMENTO!T33)</f>
        <v>4316.5600000000004</v>
      </c>
      <c r="H33" s="147">
        <f ca="1">IF(RegimeExecucao="Global","",ORÇAMENTO!W33)</f>
        <v>0</v>
      </c>
      <c r="I33" s="150">
        <f ca="1">ORÇAMENTO!X33</f>
        <v>0</v>
      </c>
      <c r="J33" s="423">
        <f ca="1">IF($A33="S",IF(CAIXA.Modo,BM.AFAnterior,BM.MEDAnterior),IF(AND(RegimeExecucao="Global",$I33&gt;0,COUNTIF($AB$13:$AM$13,BM.medicao-1)&gt;0),M33/$I33*100,0))</f>
        <v>0</v>
      </c>
      <c r="K33" s="147">
        <f ca="1">L33-J33</f>
        <v>0</v>
      </c>
      <c r="L33" s="424">
        <f ca="1">IF($A33="S",IF(CAIXA.Modo,BM.AFAcumulado,BM.MEDAcumulado),IF(AND(RegimeExecucao="Global",$I33&gt;0,COUNTIF($AB$13:$AM$13,BM.medicao)&gt;0),O33/$I33*100,0))</f>
        <v>0</v>
      </c>
      <c r="M33" s="425">
        <f ca="1">IF($A33="S",VTOTALBM,IF($A33=0,0,ROUND(SomaAgrupBM,15-13*ORÇAMENTO!$AF$11)))</f>
        <v>0</v>
      </c>
      <c r="N33" s="426">
        <f ca="1">O33-M33</f>
        <v>0</v>
      </c>
      <c r="O33" s="150">
        <f ca="1">IF($A33="S",VTOTALBM,IF($A33=0,0,ROUND(SomaAgrupBM,15-13*ORÇAMENTO!$AF$11)))</f>
        <v>0</v>
      </c>
      <c r="Q33" s="427"/>
      <c r="R33" s="428"/>
      <c r="T33" s="142" t="str">
        <f ca="1">IF($W33&gt;0,$D33,"")</f>
        <v/>
      </c>
      <c r="U33" s="202" t="str">
        <f ca="1">IF($W33&gt;0,$E33,"")</f>
        <v/>
      </c>
      <c r="V33" s="203" t="str">
        <f ca="1">IF(AND($W33&gt;0,RegimeExecucao="Unitário"),$F33,"")</f>
        <v/>
      </c>
      <c r="W33" s="629">
        <f ca="1">IF($Y33&gt;0,CHOOSE(MATCH(RegimeExecucao,{"Unitário","Global"},0),IF($A33="S",$Y33/$X33,""),($Y33/$X33)*100),0)</f>
        <v>0</v>
      </c>
      <c r="X33" s="429" t="str">
        <f ca="1">IF($Y33&gt;0,CHOOSE(MATCH(RegimeExecucao,{"Unitário","Global"},0),IF($A33="S",ROUND($H33,ORÇAMENTO!$AF$10),""),ROUND($I33,ORÇAMENTO!$AF$11)),"")</f>
        <v/>
      </c>
      <c r="Y33" s="429">
        <f ca="1">AO33-O33</f>
        <v>0</v>
      </c>
      <c r="Z33" s="656"/>
      <c r="AB33" s="427"/>
      <c r="AC33" s="594"/>
      <c r="AD33" s="594"/>
      <c r="AE33" s="594"/>
      <c r="AF33" s="594"/>
      <c r="AG33" s="594"/>
      <c r="AH33" s="594"/>
      <c r="AI33" s="594"/>
      <c r="AJ33" s="594"/>
      <c r="AK33" s="594"/>
      <c r="AL33" s="594"/>
      <c r="AM33" s="428"/>
      <c r="AO33">
        <f ca="1">IF($A33="S",IF(BM!$I33=0,0,CHOOSE(MATCH(RegimeExecucao,{"Global","Unitário"},0),ROUND(ROUND(BM.MEDAcumulado,15-13*BM!$A$9)/100*BM!$I33,15-13*ORÇAMENTO!$AF$11),ROUND(ROUND(BM.MEDAcumulado,15-13*BM!$A$9)*ROUND(BM!$H33,15-13*ORÇAMENTO!$AF$10),15-13*ORÇAMENTO!$AF$11))),IF($A33=0,0,ROUND(SomaAgrupBM,15-13*ORÇAMENTO!$AF$11)))</f>
        <v>0</v>
      </c>
    </row>
    <row r="34" spans="1:41" ht="51">
      <c r="A34" t="str">
        <f ca="1">ORÇAMENTO!C34</f>
        <v>S</v>
      </c>
      <c r="B34">
        <f ca="1">ORÇAMENTO!D34</f>
        <v>0</v>
      </c>
      <c r="C34" s="139" t="str">
        <f ca="1">IF(OR($I34&gt;0,$A34=1,$A34=2,$A34=3,$A34=4),"F","")</f>
        <v/>
      </c>
      <c r="D34" s="142" t="str">
        <f ca="1">ORÇAMENTO!O34</f>
        <v>-</v>
      </c>
      <c r="E34" s="202" t="str">
        <f ca="1">ORÇAMENTO.Descricao</f>
        <v>(abra o arquivo 'Referência 07-2024.xlsm)</v>
      </c>
      <c r="F34" s="203" t="str">
        <f ca="1">IF(RegimeExecucao="Global","",ORÇAMENTO.Unidade)</f>
        <v>-</v>
      </c>
      <c r="G34" s="147">
        <f ca="1">IF(RegimeExecucao="Global","",ORÇAMENTO!T34)</f>
        <v>429.49</v>
      </c>
      <c r="H34" s="147">
        <f ca="1">IF(RegimeExecucao="Global","",ORÇAMENTO!W34)</f>
        <v>0</v>
      </c>
      <c r="I34" s="150">
        <f ca="1">ORÇAMENTO!X34</f>
        <v>0</v>
      </c>
      <c r="J34" s="423">
        <f ca="1">IF($A34="S",IF(CAIXA.Modo,BM.AFAnterior,BM.MEDAnterior),IF(AND(RegimeExecucao="Global",$I34&gt;0,COUNTIF($AB$13:$AM$13,BM.medicao-1)&gt;0),M34/$I34*100,0))</f>
        <v>0</v>
      </c>
      <c r="K34" s="147">
        <f ca="1">L34-J34</f>
        <v>0</v>
      </c>
      <c r="L34" s="424">
        <f ca="1">IF($A34="S",IF(CAIXA.Modo,BM.AFAcumulado,BM.MEDAcumulado),IF(AND(RegimeExecucao="Global",$I34&gt;0,COUNTIF($AB$13:$AM$13,BM.medicao)&gt;0),O34/$I34*100,0))</f>
        <v>0</v>
      </c>
      <c r="M34" s="425">
        <f ca="1">IF($A34="S",VTOTALBM,IF($A34=0,0,ROUND(SomaAgrupBM,15-13*ORÇAMENTO!$AF$11)))</f>
        <v>0</v>
      </c>
      <c r="N34" s="426">
        <f ca="1">O34-M34</f>
        <v>0</v>
      </c>
      <c r="O34" s="150">
        <f ca="1">IF($A34="S",VTOTALBM,IF($A34=0,0,ROUND(SomaAgrupBM,15-13*ORÇAMENTO!$AF$11)))</f>
        <v>0</v>
      </c>
      <c r="Q34" s="427"/>
      <c r="R34" s="428"/>
      <c r="T34" s="142" t="str">
        <f ca="1">IF($W34&gt;0,$D34,"")</f>
        <v/>
      </c>
      <c r="U34" s="202" t="str">
        <f ca="1">IF($W34&gt;0,$E34,"")</f>
        <v/>
      </c>
      <c r="V34" s="203" t="str">
        <f ca="1">IF(AND($W34&gt;0,RegimeExecucao="Unitário"),$F34,"")</f>
        <v/>
      </c>
      <c r="W34" s="629">
        <f ca="1">IF($Y34&gt;0,CHOOSE(MATCH(RegimeExecucao,{"Unitário","Global"},0),IF($A34="S",$Y34/$X34,""),($Y34/$X34)*100),0)</f>
        <v>0</v>
      </c>
      <c r="X34" s="429" t="str">
        <f ca="1">IF($Y34&gt;0,CHOOSE(MATCH(RegimeExecucao,{"Unitário","Global"},0),IF($A34="S",ROUND($H34,ORÇAMENTO!$AF$10),""),ROUND($I34,ORÇAMENTO!$AF$11)),"")</f>
        <v/>
      </c>
      <c r="Y34" s="429">
        <f ca="1">AO34-O34</f>
        <v>0</v>
      </c>
      <c r="Z34" s="656"/>
      <c r="AB34" s="427"/>
      <c r="AC34" s="594"/>
      <c r="AD34" s="594"/>
      <c r="AE34" s="594"/>
      <c r="AF34" s="594"/>
      <c r="AG34" s="594"/>
      <c r="AH34" s="594"/>
      <c r="AI34" s="594"/>
      <c r="AJ34" s="594"/>
      <c r="AK34" s="594"/>
      <c r="AL34" s="594"/>
      <c r="AM34" s="428"/>
      <c r="AO34">
        <f ca="1">IF($A34="S",IF(BM!$I34=0,0,CHOOSE(MATCH(RegimeExecucao,{"Global","Unitário"},0),ROUND(ROUND(BM.MEDAcumulado,15-13*BM!$A$9)/100*BM!$I34,15-13*ORÇAMENTO!$AF$11),ROUND(ROUND(BM.MEDAcumulado,15-13*BM!$A$9)*ROUND(BM!$H34,15-13*ORÇAMENTO!$AF$10),15-13*ORÇAMENTO!$AF$11))),IF($A34=0,0,ROUND(SomaAgrupBM,15-13*ORÇAMENTO!$AF$11)))</f>
        <v>0</v>
      </c>
    </row>
    <row r="35" spans="1:41" ht="51">
      <c r="A35" t="str">
        <f ca="1">ORÇAMENTO!C35</f>
        <v>S</v>
      </c>
      <c r="B35">
        <f ca="1">ORÇAMENTO!D35</f>
        <v>0</v>
      </c>
      <c r="C35" s="139" t="str">
        <f t="shared" ca="1" si="1"/>
        <v/>
      </c>
      <c r="D35" s="142" t="str">
        <f ca="1">ORÇAMENTO!O35</f>
        <v>-</v>
      </c>
      <c r="E35" s="202" t="str">
        <f t="shared" ca="1" si="2"/>
        <v>(abra o arquivo 'Referência 07-2024.xlsm)</v>
      </c>
      <c r="F35" s="203" t="str">
        <f ca="1">IF(RegimeExecucao="Global","",ORÇAMENTO.Unidade)</f>
        <v>-</v>
      </c>
      <c r="G35" s="147">
        <f ca="1">IF(RegimeExecucao="Global","",ORÇAMENTO!T35)</f>
        <v>129.5</v>
      </c>
      <c r="H35" s="147">
        <f ca="1">IF(RegimeExecucao="Global","",ORÇAMENTO!W35)</f>
        <v>0</v>
      </c>
      <c r="I35" s="150">
        <f ca="1">ORÇAMENTO!X35</f>
        <v>0</v>
      </c>
      <c r="J35" s="423">
        <f ca="1">IF($A35="S",IF(CAIXA.Modo,BM.AFAnterior,BM.MEDAnterior),IF(AND(RegimeExecucao="Global",$I35&gt;0,COUNTIF($AB$13:$AM$13,BM.medicao-1)&gt;0),M35/$I35*100,0))</f>
        <v>0</v>
      </c>
      <c r="K35" s="147">
        <f t="shared" ca="1" si="3"/>
        <v>0</v>
      </c>
      <c r="L35" s="424">
        <f ca="1">IF($A35="S",IF(CAIXA.Modo,BM.AFAcumulado,BM.MEDAcumulado),IF(AND(RegimeExecucao="Global",$I35&gt;0,COUNTIF($AB$13:$AM$13,BM.medicao)&gt;0),O35/$I35*100,0))</f>
        <v>0</v>
      </c>
      <c r="M35" s="425">
        <f ca="1">IF($A35="S",VTOTALBM,IF($A35=0,0,ROUND(SomaAgrupBM,15-13*ORÇAMENTO!$AF$11)))</f>
        <v>0</v>
      </c>
      <c r="N35" s="426">
        <f t="shared" ca="1" si="4"/>
        <v>0</v>
      </c>
      <c r="O35" s="150">
        <f ca="1">IF($A35="S",VTOTALBM,IF($A35=0,0,ROUND(SomaAgrupBM,15-13*ORÇAMENTO!$AF$11)))</f>
        <v>0</v>
      </c>
      <c r="Q35" s="427"/>
      <c r="R35" s="428"/>
      <c r="T35" s="142" t="str">
        <f t="shared" ca="1" si="5"/>
        <v/>
      </c>
      <c r="U35" s="202" t="str">
        <f t="shared" ca="1" si="6"/>
        <v/>
      </c>
      <c r="V35" s="203" t="str">
        <f ca="1">IF(AND($W35&gt;0,RegimeExecucao="Unitário"),$F35,"")</f>
        <v/>
      </c>
      <c r="W35" s="629">
        <f ca="1">IF($Y35&gt;0,CHOOSE(MATCH(RegimeExecucao,{"Unitário","Global"},0),IF($A35="S",$Y35/$X35,""),($Y35/$X35)*100),0)</f>
        <v>0</v>
      </c>
      <c r="X35" s="429" t="str">
        <f ca="1">IF($Y35&gt;0,CHOOSE(MATCH(RegimeExecucao,{"Unitário","Global"},0),IF($A35="S",ROUND($H35,ORÇAMENTO!$AF$10),""),ROUND($I35,ORÇAMENTO!$AF$11)),"")</f>
        <v/>
      </c>
      <c r="Y35" s="429">
        <f t="shared" ca="1" si="7"/>
        <v>0</v>
      </c>
      <c r="Z35" s="656"/>
      <c r="AB35" s="427"/>
      <c r="AC35" s="594"/>
      <c r="AD35" s="594"/>
      <c r="AE35" s="594"/>
      <c r="AF35" s="594"/>
      <c r="AG35" s="594"/>
      <c r="AH35" s="594"/>
      <c r="AI35" s="594"/>
      <c r="AJ35" s="594"/>
      <c r="AK35" s="594"/>
      <c r="AL35" s="594"/>
      <c r="AM35" s="428"/>
      <c r="AO35">
        <f ca="1">IF($A35="S",IF(BM!$I35=0,0,CHOOSE(MATCH(RegimeExecucao,{"Global","Unitário"},0),ROUND(ROUND(BM.MEDAcumulado,15-13*BM!$A$9)/100*BM!$I35,15-13*ORÇAMENTO!$AF$11),ROUND(ROUND(BM.MEDAcumulado,15-13*BM!$A$9)*ROUND(BM!$H35,15-13*ORÇAMENTO!$AF$10),15-13*ORÇAMENTO!$AF$11))),IF($A35=0,0,ROUND(SomaAgrupBM,15-13*ORÇAMENTO!$AF$11)))</f>
        <v>0</v>
      </c>
    </row>
    <row r="36" spans="1:41" ht="38.25">
      <c r="A36" t="str">
        <f ca="1">ORÇAMENTO!C36</f>
        <v>S</v>
      </c>
      <c r="B36">
        <f ca="1">ORÇAMENTO!D36</f>
        <v>0</v>
      </c>
      <c r="C36" s="139" t="str">
        <f t="shared" ca="1" si="1"/>
        <v/>
      </c>
      <c r="D36" s="142" t="str">
        <f ca="1">ORÇAMENTO!O36</f>
        <v>-</v>
      </c>
      <c r="E36" s="202" t="str">
        <f t="shared" ca="1" si="2"/>
        <v>(abra o arquivo 'Referência 07-2024.xlsm)</v>
      </c>
      <c r="F36" s="203" t="str">
        <f ca="1">IF(RegimeExecucao="Global","",ORÇAMENTO.Unidade)</f>
        <v>-</v>
      </c>
      <c r="G36" s="147">
        <f ca="1">IF(RegimeExecucao="Global","",ORÇAMENTO!T36)</f>
        <v>4532.5</v>
      </c>
      <c r="H36" s="147">
        <f ca="1">IF(RegimeExecucao="Global","",ORÇAMENTO!W36)</f>
        <v>0</v>
      </c>
      <c r="I36" s="150">
        <f ca="1">ORÇAMENTO!X36</f>
        <v>0</v>
      </c>
      <c r="J36" s="423">
        <f ca="1">IF($A36="S",IF(CAIXA.Modo,BM.AFAnterior,BM.MEDAnterior),IF(AND(RegimeExecucao="Global",$I36&gt;0,COUNTIF($AB$13:$AM$13,BM.medicao-1)&gt;0),M36/$I36*100,0))</f>
        <v>0</v>
      </c>
      <c r="K36" s="147">
        <f t="shared" ca="1" si="3"/>
        <v>0</v>
      </c>
      <c r="L36" s="424">
        <f ca="1">IF($A36="S",IF(CAIXA.Modo,BM.AFAcumulado,BM.MEDAcumulado),IF(AND(RegimeExecucao="Global",$I36&gt;0,COUNTIF($AB$13:$AM$13,BM.medicao)&gt;0),O36/$I36*100,0))</f>
        <v>0</v>
      </c>
      <c r="M36" s="425">
        <f ca="1">IF($A36="S",VTOTALBM,IF($A36=0,0,ROUND(SomaAgrupBM,15-13*ORÇAMENTO!$AF$11)))</f>
        <v>0</v>
      </c>
      <c r="N36" s="426">
        <f t="shared" ca="1" si="4"/>
        <v>0</v>
      </c>
      <c r="O36" s="150">
        <f ca="1">IF($A36="S",VTOTALBM,IF($A36=0,0,ROUND(SomaAgrupBM,15-13*ORÇAMENTO!$AF$11)))</f>
        <v>0</v>
      </c>
      <c r="Q36" s="427"/>
      <c r="R36" s="428"/>
      <c r="T36" s="142" t="str">
        <f t="shared" ca="1" si="5"/>
        <v/>
      </c>
      <c r="U36" s="202" t="str">
        <f t="shared" ca="1" si="6"/>
        <v/>
      </c>
      <c r="V36" s="203" t="str">
        <f ca="1">IF(AND($W36&gt;0,RegimeExecucao="Unitário"),$F36,"")</f>
        <v/>
      </c>
      <c r="W36" s="629">
        <f ca="1">IF($Y36&gt;0,CHOOSE(MATCH(RegimeExecucao,{"Unitário","Global"},0),IF($A36="S",$Y36/$X36,""),($Y36/$X36)*100),0)</f>
        <v>0</v>
      </c>
      <c r="X36" s="429" t="str">
        <f ca="1">IF($Y36&gt;0,CHOOSE(MATCH(RegimeExecucao,{"Unitário","Global"},0),IF($A36="S",ROUND($H36,ORÇAMENTO!$AF$10),""),ROUND($I36,ORÇAMENTO!$AF$11)),"")</f>
        <v/>
      </c>
      <c r="Y36" s="429">
        <f t="shared" ca="1" si="7"/>
        <v>0</v>
      </c>
      <c r="Z36" s="656"/>
      <c r="AB36" s="427"/>
      <c r="AC36" s="594"/>
      <c r="AD36" s="594"/>
      <c r="AE36" s="594"/>
      <c r="AF36" s="594"/>
      <c r="AG36" s="594"/>
      <c r="AH36" s="594"/>
      <c r="AI36" s="594"/>
      <c r="AJ36" s="594"/>
      <c r="AK36" s="594"/>
      <c r="AL36" s="594"/>
      <c r="AM36" s="428"/>
      <c r="AO36">
        <f ca="1">IF($A36="S",IF(BM!$I36=0,0,CHOOSE(MATCH(RegimeExecucao,{"Global","Unitário"},0),ROUND(ROUND(BM.MEDAcumulado,15-13*BM!$A$9)/100*BM!$I36,15-13*ORÇAMENTO!$AF$11),ROUND(ROUND(BM.MEDAcumulado,15-13*BM!$A$9)*ROUND(BM!$H36,15-13*ORÇAMENTO!$AF$10),15-13*ORÇAMENTO!$AF$11))),IF($A36=0,0,ROUND(SomaAgrupBM,15-13*ORÇAMENTO!$AF$11)))</f>
        <v>0</v>
      </c>
    </row>
    <row r="37" spans="1:41">
      <c r="A37">
        <f ca="1">ORÇAMENTO!C37</f>
        <v>2</v>
      </c>
      <c r="B37">
        <f ca="1">ORÇAMENTO!D37</f>
        <v>4</v>
      </c>
      <c r="C37" s="139" t="str">
        <f t="shared" ca="1" si="1"/>
        <v>F</v>
      </c>
      <c r="D37" s="142" t="str">
        <f ca="1">ORÇAMENTO!O37</f>
        <v>1.5.</v>
      </c>
      <c r="E37" s="202" t="str">
        <f t="shared" ca="1" si="2"/>
        <v>SINALIZAÇÃO VERTICAL</v>
      </c>
      <c r="F37" s="203" t="str">
        <f ca="1">IF(RegimeExecucao="Global","",ORÇAMENTO.Unidade)</f>
        <v>-</v>
      </c>
      <c r="G37" s="147">
        <f ca="1">IF(RegimeExecucao="Global","",ORÇAMENTO!T37)</f>
        <v>0</v>
      </c>
      <c r="H37" s="147">
        <f ca="1">IF(RegimeExecucao="Global","",ORÇAMENTO!W37)</f>
        <v>0</v>
      </c>
      <c r="I37" s="150">
        <f ca="1">ORÇAMENTO!X37</f>
        <v>0</v>
      </c>
      <c r="J37" s="423">
        <f ca="1">IF($A37="S",IF(CAIXA.Modo,BM.AFAnterior,BM.MEDAnterior),IF(AND(RegimeExecucao="Global",$I37&gt;0,COUNTIF($AB$13:$AM$13,BM.medicao-1)&gt;0),M37/$I37*100,0))</f>
        <v>0</v>
      </c>
      <c r="K37" s="147">
        <f t="shared" ca="1" si="3"/>
        <v>0</v>
      </c>
      <c r="L37" s="424">
        <f ca="1">IF($A37="S",IF(CAIXA.Modo,BM.AFAcumulado,BM.MEDAcumulado),IF(AND(RegimeExecucao="Global",$I37&gt;0,COUNTIF($AB$13:$AM$13,BM.medicao)&gt;0),O37/$I37*100,0))</f>
        <v>0</v>
      </c>
      <c r="M37" s="425">
        <f ca="1">IF($A37="S",VTOTALBM,IF($A37=0,0,ROUND(SomaAgrupBM,15-13*ORÇAMENTO!$AF$11)))</f>
        <v>0</v>
      </c>
      <c r="N37" s="426">
        <f t="shared" ca="1" si="4"/>
        <v>0</v>
      </c>
      <c r="O37" s="150">
        <f ca="1">IF($A37="S",VTOTALBM,IF($A37=0,0,ROUND(SomaAgrupBM,15-13*ORÇAMENTO!$AF$11)))</f>
        <v>0</v>
      </c>
      <c r="Q37" s="427"/>
      <c r="R37" s="428"/>
      <c r="T37" s="142" t="str">
        <f t="shared" ca="1" si="5"/>
        <v/>
      </c>
      <c r="U37" s="202" t="str">
        <f t="shared" ca="1" si="6"/>
        <v/>
      </c>
      <c r="V37" s="203" t="str">
        <f ca="1">IF(AND($W37&gt;0,RegimeExecucao="Unitário"),$F37,"")</f>
        <v/>
      </c>
      <c r="W37" s="629">
        <f ca="1">IF($Y37&gt;0,CHOOSE(MATCH(RegimeExecucao,{"Unitário","Global"},0),IF($A37="S",$Y37/$X37,""),($Y37/$X37)*100),0)</f>
        <v>0</v>
      </c>
      <c r="X37" s="429" t="str">
        <f ca="1">IF($Y37&gt;0,CHOOSE(MATCH(RegimeExecucao,{"Unitário","Global"},0),IF($A37="S",ROUND($H37,ORÇAMENTO!$AF$10),""),ROUND($I37,ORÇAMENTO!$AF$11)),"")</f>
        <v/>
      </c>
      <c r="Y37" s="429">
        <f t="shared" ca="1" si="7"/>
        <v>0</v>
      </c>
      <c r="Z37" s="656"/>
      <c r="AB37" s="427"/>
      <c r="AC37" s="594"/>
      <c r="AD37" s="594"/>
      <c r="AE37" s="594"/>
      <c r="AF37" s="594"/>
      <c r="AG37" s="594"/>
      <c r="AH37" s="594"/>
      <c r="AI37" s="594"/>
      <c r="AJ37" s="594"/>
      <c r="AK37" s="594"/>
      <c r="AL37" s="594"/>
      <c r="AM37" s="428"/>
      <c r="AO37">
        <f ca="1">IF($A37="S",IF(BM!$I37=0,0,CHOOSE(MATCH(RegimeExecucao,{"Global","Unitário"},0),ROUND(ROUND(BM.MEDAcumulado,15-13*BM!$A$9)/100*BM!$I37,15-13*ORÇAMENTO!$AF$11),ROUND(ROUND(BM.MEDAcumulado,15-13*BM!$A$9)*ROUND(BM!$H37,15-13*ORÇAMENTO!$AF$10),15-13*ORÇAMENTO!$AF$11))),IF($A37=0,0,ROUND(SomaAgrupBM,15-13*ORÇAMENTO!$AF$11)))</f>
        <v>0</v>
      </c>
    </row>
    <row r="38" spans="1:41" ht="38.25">
      <c r="A38" t="str">
        <f ca="1">ORÇAMENTO!C38</f>
        <v>S</v>
      </c>
      <c r="B38">
        <f ca="1">ORÇAMENTO!D38</f>
        <v>0</v>
      </c>
      <c r="C38" s="139" t="str">
        <f t="shared" ca="1" si="1"/>
        <v/>
      </c>
      <c r="D38" s="142" t="str">
        <f ca="1">ORÇAMENTO!O38</f>
        <v>-</v>
      </c>
      <c r="E38" s="202" t="str">
        <f t="shared" ca="1" si="2"/>
        <v>(abra o arquivo 'Referência 07-2024.xlsm)</v>
      </c>
      <c r="F38" s="203" t="str">
        <f ca="1">IF(RegimeExecucao="Global","",ORÇAMENTO.Unidade)</f>
        <v>-</v>
      </c>
      <c r="G38" s="147">
        <f ca="1">IF(RegimeExecucao="Global","",ORÇAMENTO!T38)</f>
        <v>8</v>
      </c>
      <c r="H38" s="147">
        <f ca="1">IF(RegimeExecucao="Global","",ORÇAMENTO!W38)</f>
        <v>0</v>
      </c>
      <c r="I38" s="150">
        <f ca="1">ORÇAMENTO!X38</f>
        <v>0</v>
      </c>
      <c r="J38" s="423">
        <f ca="1">IF($A38="S",IF(CAIXA.Modo,BM.AFAnterior,BM.MEDAnterior),IF(AND(RegimeExecucao="Global",$I38&gt;0,COUNTIF($AB$13:$AM$13,BM.medicao-1)&gt;0),M38/$I38*100,0))</f>
        <v>0</v>
      </c>
      <c r="K38" s="147">
        <f t="shared" ca="1" si="3"/>
        <v>0</v>
      </c>
      <c r="L38" s="424">
        <f ca="1">IF($A38="S",IF(CAIXA.Modo,BM.AFAcumulado,BM.MEDAcumulado),IF(AND(RegimeExecucao="Global",$I38&gt;0,COUNTIF($AB$13:$AM$13,BM.medicao)&gt;0),O38/$I38*100,0))</f>
        <v>0</v>
      </c>
      <c r="M38" s="425">
        <f ca="1">IF($A38="S",VTOTALBM,IF($A38=0,0,ROUND(SomaAgrupBM,15-13*ORÇAMENTO!$AF$11)))</f>
        <v>0</v>
      </c>
      <c r="N38" s="426">
        <f t="shared" ca="1" si="4"/>
        <v>0</v>
      </c>
      <c r="O38" s="150">
        <f ca="1">IF($A38="S",VTOTALBM,IF($A38=0,0,ROUND(SomaAgrupBM,15-13*ORÇAMENTO!$AF$11)))</f>
        <v>0</v>
      </c>
      <c r="Q38" s="427"/>
      <c r="R38" s="428"/>
      <c r="T38" s="142" t="str">
        <f t="shared" ca="1" si="5"/>
        <v/>
      </c>
      <c r="U38" s="202" t="str">
        <f t="shared" ca="1" si="6"/>
        <v/>
      </c>
      <c r="V38" s="203" t="str">
        <f ca="1">IF(AND($W38&gt;0,RegimeExecucao="Unitário"),$F38,"")</f>
        <v/>
      </c>
      <c r="W38" s="629">
        <f ca="1">IF($Y38&gt;0,CHOOSE(MATCH(RegimeExecucao,{"Unitário","Global"},0),IF($A38="S",$Y38/$X38,""),($Y38/$X38)*100),0)</f>
        <v>0</v>
      </c>
      <c r="X38" s="429" t="str">
        <f ca="1">IF($Y38&gt;0,CHOOSE(MATCH(RegimeExecucao,{"Unitário","Global"},0),IF($A38="S",ROUND($H38,ORÇAMENTO!$AF$10),""),ROUND($I38,ORÇAMENTO!$AF$11)),"")</f>
        <v/>
      </c>
      <c r="Y38" s="429">
        <f t="shared" ca="1" si="7"/>
        <v>0</v>
      </c>
      <c r="Z38" s="656"/>
      <c r="AB38" s="427"/>
      <c r="AC38" s="594"/>
      <c r="AD38" s="594"/>
      <c r="AE38" s="594"/>
      <c r="AF38" s="594"/>
      <c r="AG38" s="594"/>
      <c r="AH38" s="594"/>
      <c r="AI38" s="594"/>
      <c r="AJ38" s="594"/>
      <c r="AK38" s="594"/>
      <c r="AL38" s="594"/>
      <c r="AM38" s="428"/>
      <c r="AO38">
        <f ca="1">IF($A38="S",IF(BM!$I38=0,0,CHOOSE(MATCH(RegimeExecucao,{"Global","Unitário"},0),ROUND(ROUND(BM.MEDAcumulado,15-13*BM!$A$9)/100*BM!$I38,15-13*ORÇAMENTO!$AF$11),ROUND(ROUND(BM.MEDAcumulado,15-13*BM!$A$9)*ROUND(BM!$H38,15-13*ORÇAMENTO!$AF$10),15-13*ORÇAMENTO!$AF$11))),IF($A38=0,0,ROUND(SomaAgrupBM,15-13*ORÇAMENTO!$AF$11)))</f>
        <v>0</v>
      </c>
    </row>
    <row r="39" spans="1:41" ht="25.5">
      <c r="A39" t="str">
        <f ca="1">ORÇAMENTO!C39</f>
        <v>S</v>
      </c>
      <c r="B39">
        <f ca="1">ORÇAMENTO!D39</f>
        <v>0</v>
      </c>
      <c r="C39" s="139" t="str">
        <f t="shared" ca="1" si="1"/>
        <v/>
      </c>
      <c r="D39" s="142" t="str">
        <f ca="1">ORÇAMENTO!O39</f>
        <v>-</v>
      </c>
      <c r="E39" s="202" t="str">
        <f t="shared" ca="1" si="2"/>
        <v>(abra o arquivo 'Referência 07-2024.xlsm)</v>
      </c>
      <c r="F39" s="203" t="str">
        <f ca="1">IF(RegimeExecucao="Global","",ORÇAMENTO.Unidade)</f>
        <v>-</v>
      </c>
      <c r="G39" s="147">
        <f ca="1">IF(RegimeExecucao="Global","",ORÇAMENTO!T39)</f>
        <v>1</v>
      </c>
      <c r="H39" s="147">
        <f ca="1">IF(RegimeExecucao="Global","",ORÇAMENTO!W39)</f>
        <v>0</v>
      </c>
      <c r="I39" s="150">
        <f ca="1">ORÇAMENTO!X39</f>
        <v>0</v>
      </c>
      <c r="J39" s="423">
        <f ca="1">IF($A39="S",IF(CAIXA.Modo,BM.AFAnterior,BM.MEDAnterior),IF(AND(RegimeExecucao="Global",$I39&gt;0,COUNTIF($AB$13:$AM$13,BM.medicao-1)&gt;0),M39/$I39*100,0))</f>
        <v>0</v>
      </c>
      <c r="K39" s="147">
        <f t="shared" ca="1" si="3"/>
        <v>0</v>
      </c>
      <c r="L39" s="424">
        <f ca="1">IF($A39="S",IF(CAIXA.Modo,BM.AFAcumulado,BM.MEDAcumulado),IF(AND(RegimeExecucao="Global",$I39&gt;0,COUNTIF($AB$13:$AM$13,BM.medicao)&gt;0),O39/$I39*100,0))</f>
        <v>0</v>
      </c>
      <c r="M39" s="425">
        <f ca="1">IF($A39="S",VTOTALBM,IF($A39=0,0,ROUND(SomaAgrupBM,15-13*ORÇAMENTO!$AF$11)))</f>
        <v>0</v>
      </c>
      <c r="N39" s="426">
        <f t="shared" ca="1" si="4"/>
        <v>0</v>
      </c>
      <c r="O39" s="150">
        <f ca="1">IF($A39="S",VTOTALBM,IF($A39=0,0,ROUND(SomaAgrupBM,15-13*ORÇAMENTO!$AF$11)))</f>
        <v>0</v>
      </c>
      <c r="Q39" s="427"/>
      <c r="R39" s="428"/>
      <c r="T39" s="142" t="str">
        <f t="shared" ca="1" si="5"/>
        <v/>
      </c>
      <c r="U39" s="202" t="str">
        <f t="shared" ca="1" si="6"/>
        <v/>
      </c>
      <c r="V39" s="203" t="str">
        <f ca="1">IF(AND($W39&gt;0,RegimeExecucao="Unitário"),$F39,"")</f>
        <v/>
      </c>
      <c r="W39" s="629">
        <f ca="1">IF($Y39&gt;0,CHOOSE(MATCH(RegimeExecucao,{"Unitário","Global"},0),IF($A39="S",$Y39/$X39,""),($Y39/$X39)*100),0)</f>
        <v>0</v>
      </c>
      <c r="X39" s="429" t="str">
        <f ca="1">IF($Y39&gt;0,CHOOSE(MATCH(RegimeExecucao,{"Unitário","Global"},0),IF($A39="S",ROUND($H39,ORÇAMENTO!$AF$10),""),ROUND($I39,ORÇAMENTO!$AF$11)),"")</f>
        <v/>
      </c>
      <c r="Y39" s="429">
        <f t="shared" ca="1" si="7"/>
        <v>0</v>
      </c>
      <c r="Z39" s="656"/>
      <c r="AB39" s="427"/>
      <c r="AC39" s="594"/>
      <c r="AD39" s="594"/>
      <c r="AE39" s="594"/>
      <c r="AF39" s="594"/>
      <c r="AG39" s="594"/>
      <c r="AH39" s="594"/>
      <c r="AI39" s="594"/>
      <c r="AJ39" s="594"/>
      <c r="AK39" s="594"/>
      <c r="AL39" s="594"/>
      <c r="AM39" s="428"/>
      <c r="AO39">
        <f ca="1">IF($A39="S",IF(BM!$I39=0,0,CHOOSE(MATCH(RegimeExecucao,{"Global","Unitário"},0),ROUND(ROUND(BM.MEDAcumulado,15-13*BM!$A$9)/100*BM!$I39,15-13*ORÇAMENTO!$AF$11),ROUND(ROUND(BM.MEDAcumulado,15-13*BM!$A$9)*ROUND(BM!$H39,15-13*ORÇAMENTO!$AF$10),15-13*ORÇAMENTO!$AF$11))),IF($A39=0,0,ROUND(SomaAgrupBM,15-13*ORÇAMENTO!$AF$11)))</f>
        <v>0</v>
      </c>
    </row>
    <row r="40" spans="1:41" ht="38.25">
      <c r="A40" t="str">
        <f ca="1">ORÇAMENTO!C40</f>
        <v>S</v>
      </c>
      <c r="B40">
        <f ca="1">ORÇAMENTO!D40</f>
        <v>0</v>
      </c>
      <c r="C40" s="139" t="str">
        <f ca="1">IF(OR($I40&gt;0,$A40=1,$A40=2,$A40=3,$A40=4),"F","")</f>
        <v/>
      </c>
      <c r="D40" s="142" t="str">
        <f ca="1">ORÇAMENTO!O40</f>
        <v>-</v>
      </c>
      <c r="E40" s="202" t="str">
        <f ca="1">ORÇAMENTO.Descricao</f>
        <v>(abra o arquivo 'Referência 07-2024.xlsm)</v>
      </c>
      <c r="F40" s="203" t="str">
        <f ca="1">IF(RegimeExecucao="Global","",ORÇAMENTO.Unidade)</f>
        <v>-</v>
      </c>
      <c r="G40" s="147">
        <f ca="1">IF(RegimeExecucao="Global","",ORÇAMENTO!T40)</f>
        <v>4</v>
      </c>
      <c r="H40" s="147">
        <f ca="1">IF(RegimeExecucao="Global","",ORÇAMENTO!W40)</f>
        <v>0</v>
      </c>
      <c r="I40" s="150">
        <f ca="1">ORÇAMENTO!X40</f>
        <v>0</v>
      </c>
      <c r="J40" s="423">
        <f ca="1">IF($A40="S",IF(CAIXA.Modo,BM.AFAnterior,BM.MEDAnterior),IF(AND(RegimeExecucao="Global",$I40&gt;0,COUNTIF($AB$13:$AM$13,BM.medicao-1)&gt;0),M40/$I40*100,0))</f>
        <v>0</v>
      </c>
      <c r="K40" s="147">
        <f ca="1">L40-J40</f>
        <v>0</v>
      </c>
      <c r="L40" s="424">
        <f ca="1">IF($A40="S",IF(CAIXA.Modo,BM.AFAcumulado,BM.MEDAcumulado),IF(AND(RegimeExecucao="Global",$I40&gt;0,COUNTIF($AB$13:$AM$13,BM.medicao)&gt;0),O40/$I40*100,0))</f>
        <v>0</v>
      </c>
      <c r="M40" s="425">
        <f ca="1">IF($A40="S",VTOTALBM,IF($A40=0,0,ROUND(SomaAgrupBM,15-13*ORÇAMENTO!$AF$11)))</f>
        <v>0</v>
      </c>
      <c r="N40" s="426">
        <f ca="1">O40-M40</f>
        <v>0</v>
      </c>
      <c r="O40" s="150">
        <f ca="1">IF($A40="S",VTOTALBM,IF($A40=0,0,ROUND(SomaAgrupBM,15-13*ORÇAMENTO!$AF$11)))</f>
        <v>0</v>
      </c>
      <c r="Q40" s="427"/>
      <c r="R40" s="428"/>
      <c r="T40" s="142" t="str">
        <f ca="1">IF($W40&gt;0,$D40,"")</f>
        <v/>
      </c>
      <c r="U40" s="202" t="str">
        <f ca="1">IF($W40&gt;0,$E40,"")</f>
        <v/>
      </c>
      <c r="V40" s="203" t="str">
        <f ca="1">IF(AND($W40&gt;0,RegimeExecucao="Unitário"),$F40,"")</f>
        <v/>
      </c>
      <c r="W40" s="629">
        <f ca="1">IF($Y40&gt;0,CHOOSE(MATCH(RegimeExecucao,{"Unitário","Global"},0),IF($A40="S",$Y40/$X40,""),($Y40/$X40)*100),0)</f>
        <v>0</v>
      </c>
      <c r="X40" s="429" t="str">
        <f ca="1">IF($Y40&gt;0,CHOOSE(MATCH(RegimeExecucao,{"Unitário","Global"},0),IF($A40="S",ROUND($H40,ORÇAMENTO!$AF$10),""),ROUND($I40,ORÇAMENTO!$AF$11)),"")</f>
        <v/>
      </c>
      <c r="Y40" s="429">
        <f ca="1">AO40-O40</f>
        <v>0</v>
      </c>
      <c r="Z40" s="656"/>
      <c r="AB40" s="427"/>
      <c r="AC40" s="594"/>
      <c r="AD40" s="594"/>
      <c r="AE40" s="594"/>
      <c r="AF40" s="594"/>
      <c r="AG40" s="594"/>
      <c r="AH40" s="594"/>
      <c r="AI40" s="594"/>
      <c r="AJ40" s="594"/>
      <c r="AK40" s="594"/>
      <c r="AL40" s="594"/>
      <c r="AM40" s="428"/>
      <c r="AO40">
        <f ca="1">IF($A40="S",IF(BM!$I40=0,0,CHOOSE(MATCH(RegimeExecucao,{"Global","Unitário"},0),ROUND(ROUND(BM.MEDAcumulado,15-13*BM!$A$9)/100*BM!$I40,15-13*ORÇAMENTO!$AF$11),ROUND(ROUND(BM.MEDAcumulado,15-13*BM!$A$9)*ROUND(BM!$H40,15-13*ORÇAMENTO!$AF$10),15-13*ORÇAMENTO!$AF$11))),IF($A40=0,0,ROUND(SomaAgrupBM,15-13*ORÇAMENTO!$AF$11)))</f>
        <v>0</v>
      </c>
    </row>
    <row r="41" spans="1:41">
      <c r="A41">
        <f ca="1">ORÇAMENTO!C41</f>
        <v>2</v>
      </c>
      <c r="B41">
        <f ca="1">ORÇAMENTO!D41</f>
        <v>2</v>
      </c>
      <c r="C41" s="139" t="str">
        <f t="shared" ref="C41:C42" ca="1" si="21">IF(OR($I41&gt;0,$A41=1,$A41=2,$A41=3,$A41=4),"F","")</f>
        <v>F</v>
      </c>
      <c r="D41" s="142" t="str">
        <f ca="1">ORÇAMENTO!O41</f>
        <v>1.6.</v>
      </c>
      <c r="E41" s="202" t="str">
        <f ca="1">ORÇAMENTO.Descricao</f>
        <v>SINALIZAÇÃO HORIZONTAL</v>
      </c>
      <c r="F41" s="203" t="str">
        <f ca="1">IF(RegimeExecucao="Global","",ORÇAMENTO.Unidade)</f>
        <v>-</v>
      </c>
      <c r="G41" s="147">
        <f ca="1">IF(RegimeExecucao="Global","",ORÇAMENTO!T41)</f>
        <v>0</v>
      </c>
      <c r="H41" s="147">
        <f ca="1">IF(RegimeExecucao="Global","",ORÇAMENTO!W41)</f>
        <v>0</v>
      </c>
      <c r="I41" s="150">
        <f ca="1">ORÇAMENTO!X41</f>
        <v>0</v>
      </c>
      <c r="J41" s="423">
        <f ca="1">IF($A41="S",IF(CAIXA.Modo,BM.AFAnterior,BM.MEDAnterior),IF(AND(RegimeExecucao="Global",$I41&gt;0,COUNTIF($AB$13:$AM$13,BM.medicao-1)&gt;0),M41/$I41*100,0))</f>
        <v>0</v>
      </c>
      <c r="K41" s="147">
        <f t="shared" ref="K41:K42" ca="1" si="22">L41-J41</f>
        <v>0</v>
      </c>
      <c r="L41" s="424">
        <f ca="1">IF($A41="S",IF(CAIXA.Modo,BM.AFAcumulado,BM.MEDAcumulado),IF(AND(RegimeExecucao="Global",$I41&gt;0,COUNTIF($AB$13:$AM$13,BM.medicao)&gt;0),O41/$I41*100,0))</f>
        <v>0</v>
      </c>
      <c r="M41" s="425">
        <f ca="1">IF($A41="S",VTOTALBM,IF($A41=0,0,ROUND(SomaAgrupBM,15-13*ORÇAMENTO!$AF$11)))</f>
        <v>0</v>
      </c>
      <c r="N41" s="426">
        <f t="shared" ref="N41:N42" ca="1" si="23">O41-M41</f>
        <v>0</v>
      </c>
      <c r="O41" s="150">
        <f ca="1">IF($A41="S",VTOTALBM,IF($A41=0,0,ROUND(SomaAgrupBM,15-13*ORÇAMENTO!$AF$11)))</f>
        <v>0</v>
      </c>
      <c r="Q41" s="427"/>
      <c r="R41" s="428"/>
      <c r="T41" s="142" t="str">
        <f t="shared" ref="T41:T42" ca="1" si="24">IF($W41&gt;0,$D41,"")</f>
        <v/>
      </c>
      <c r="U41" s="202" t="str">
        <f t="shared" ref="U41:U42" ca="1" si="25">IF($W41&gt;0,$E41,"")</f>
        <v/>
      </c>
      <c r="V41" s="203" t="str">
        <f ca="1">IF(AND($W41&gt;0,RegimeExecucao="Unitário"),$F41,"")</f>
        <v/>
      </c>
      <c r="W41" s="629">
        <f ca="1">IF($Y41&gt;0,CHOOSE(MATCH(RegimeExecucao,{"Unitário","Global"},0),IF($A41="S",$Y41/$X41,""),($Y41/$X41)*100),0)</f>
        <v>0</v>
      </c>
      <c r="X41" s="429" t="str">
        <f ca="1">IF($Y41&gt;0,CHOOSE(MATCH(RegimeExecucao,{"Unitário","Global"},0),IF($A41="S",ROUND($H41,ORÇAMENTO!$AF$10),""),ROUND($I41,ORÇAMENTO!$AF$11)),"")</f>
        <v/>
      </c>
      <c r="Y41" s="429">
        <f t="shared" ref="Y41:Y42" ca="1" si="26">AO41-O41</f>
        <v>0</v>
      </c>
      <c r="Z41" s="656"/>
      <c r="AB41" s="427"/>
      <c r="AC41" s="594"/>
      <c r="AD41" s="594"/>
      <c r="AE41" s="594"/>
      <c r="AF41" s="594"/>
      <c r="AG41" s="594"/>
      <c r="AH41" s="594"/>
      <c r="AI41" s="594"/>
      <c r="AJ41" s="594"/>
      <c r="AK41" s="594"/>
      <c r="AL41" s="594"/>
      <c r="AM41" s="428"/>
      <c r="AO41">
        <f ca="1">IF($A41="S",IF(BM!$I41=0,0,CHOOSE(MATCH(RegimeExecucao,{"Global","Unitário"},0),ROUND(ROUND(BM.MEDAcumulado,15-13*BM!$A$9)/100*BM!$I41,15-13*ORÇAMENTO!$AF$11),ROUND(ROUND(BM.MEDAcumulado,15-13*BM!$A$9)*ROUND(BM!$H41,15-13*ORÇAMENTO!$AF$10),15-13*ORÇAMENTO!$AF$11))),IF($A41=0,0,ROUND(SomaAgrupBM,15-13*ORÇAMENTO!$AF$11)))</f>
        <v>0</v>
      </c>
    </row>
    <row r="42" spans="1:41" ht="51">
      <c r="A42" t="str">
        <f ca="1">ORÇAMENTO!C42</f>
        <v>S</v>
      </c>
      <c r="B42">
        <f ca="1">ORÇAMENTO!D42</f>
        <v>0</v>
      </c>
      <c r="C42" s="139" t="str">
        <f t="shared" ca="1" si="21"/>
        <v/>
      </c>
      <c r="D42" s="142" t="str">
        <f ca="1">ORÇAMENTO!O42</f>
        <v>-</v>
      </c>
      <c r="E42" s="202" t="str">
        <f ca="1">ORÇAMENTO.Descricao</f>
        <v>(abra o arquivo 'Referência 07-2024.xlsm)</v>
      </c>
      <c r="F42" s="203" t="str">
        <f ca="1">IF(RegimeExecucao="Global","",ORÇAMENTO.Unidade)</f>
        <v>-</v>
      </c>
      <c r="G42" s="147">
        <f ca="1">IF(RegimeExecucao="Global","",ORÇAMENTO!T42)</f>
        <v>550</v>
      </c>
      <c r="H42" s="147">
        <f ca="1">IF(RegimeExecucao="Global","",ORÇAMENTO!W42)</f>
        <v>0</v>
      </c>
      <c r="I42" s="150">
        <f ca="1">ORÇAMENTO!X42</f>
        <v>0</v>
      </c>
      <c r="J42" s="423">
        <f ca="1">IF($A42="S",IF(CAIXA.Modo,BM.AFAnterior,BM.MEDAnterior),IF(AND(RegimeExecucao="Global",$I42&gt;0,COUNTIF($AB$13:$AM$13,BM.medicao-1)&gt;0),M42/$I42*100,0))</f>
        <v>0</v>
      </c>
      <c r="K42" s="147">
        <f t="shared" ca="1" si="22"/>
        <v>0</v>
      </c>
      <c r="L42" s="424">
        <f ca="1">IF($A42="S",IF(CAIXA.Modo,BM.AFAcumulado,BM.MEDAcumulado),IF(AND(RegimeExecucao="Global",$I42&gt;0,COUNTIF($AB$13:$AM$13,BM.medicao)&gt;0),O42/$I42*100,0))</f>
        <v>0</v>
      </c>
      <c r="M42" s="425">
        <f ca="1">IF($A42="S",VTOTALBM,IF($A42=0,0,ROUND(SomaAgrupBM,15-13*ORÇAMENTO!$AF$11)))</f>
        <v>0</v>
      </c>
      <c r="N42" s="426">
        <f t="shared" ca="1" si="23"/>
        <v>0</v>
      </c>
      <c r="O42" s="150">
        <f ca="1">IF($A42="S",VTOTALBM,IF($A42=0,0,ROUND(SomaAgrupBM,15-13*ORÇAMENTO!$AF$11)))</f>
        <v>0</v>
      </c>
      <c r="Q42" s="427"/>
      <c r="R42" s="428"/>
      <c r="T42" s="142" t="str">
        <f t="shared" ca="1" si="24"/>
        <v/>
      </c>
      <c r="U42" s="202" t="str">
        <f t="shared" ca="1" si="25"/>
        <v/>
      </c>
      <c r="V42" s="203" t="str">
        <f ca="1">IF(AND($W42&gt;0,RegimeExecucao="Unitário"),$F42,"")</f>
        <v/>
      </c>
      <c r="W42" s="629">
        <f ca="1">IF($Y42&gt;0,CHOOSE(MATCH(RegimeExecucao,{"Unitário","Global"},0),IF($A42="S",$Y42/$X42,""),($Y42/$X42)*100),0)</f>
        <v>0</v>
      </c>
      <c r="X42" s="429" t="str">
        <f ca="1">IF($Y42&gt;0,CHOOSE(MATCH(RegimeExecucao,{"Unitário","Global"},0),IF($A42="S",ROUND($H42,ORÇAMENTO!$AF$10),""),ROUND($I42,ORÇAMENTO!$AF$11)),"")</f>
        <v/>
      </c>
      <c r="Y42" s="429">
        <f t="shared" ca="1" si="26"/>
        <v>0</v>
      </c>
      <c r="Z42" s="656"/>
      <c r="AB42" s="427"/>
      <c r="AC42" s="594"/>
      <c r="AD42" s="594"/>
      <c r="AE42" s="594"/>
      <c r="AF42" s="594"/>
      <c r="AG42" s="594"/>
      <c r="AH42" s="594"/>
      <c r="AI42" s="594"/>
      <c r="AJ42" s="594"/>
      <c r="AK42" s="594"/>
      <c r="AL42" s="594"/>
      <c r="AM42" s="428"/>
      <c r="AO42">
        <f ca="1">IF($A42="S",IF(BM!$I42=0,0,CHOOSE(MATCH(RegimeExecucao,{"Global","Unitário"},0),ROUND(ROUND(BM.MEDAcumulado,15-13*BM!$A$9)/100*BM!$I42,15-13*ORÇAMENTO!$AF$11),ROUND(ROUND(BM.MEDAcumulado,15-13*BM!$A$9)*ROUND(BM!$H42,15-13*ORÇAMENTO!$AF$10),15-13*ORÇAMENTO!$AF$11))),IF($A42=0,0,ROUND(SomaAgrupBM,15-13*ORÇAMENTO!$AF$11)))</f>
        <v>0</v>
      </c>
    </row>
    <row r="43" spans="1:41" ht="5.0999999999999996" customHeight="1">
      <c r="C43" s="139" t="s">
        <v>246</v>
      </c>
      <c r="D43" s="562"/>
      <c r="E43" s="559"/>
      <c r="F43" s="559"/>
      <c r="G43" s="559"/>
      <c r="H43" s="559"/>
      <c r="I43" s="560"/>
      <c r="J43" s="562"/>
      <c r="K43" s="559"/>
      <c r="L43" s="560"/>
      <c r="M43" s="591"/>
      <c r="N43" s="592"/>
      <c r="O43" s="593"/>
      <c r="Q43" s="562"/>
      <c r="R43" s="560"/>
      <c r="T43" s="562"/>
      <c r="U43" s="559"/>
      <c r="V43" s="559"/>
      <c r="W43" s="559"/>
      <c r="X43" s="559"/>
      <c r="Y43" s="559"/>
      <c r="Z43" s="560"/>
      <c r="AB43" s="562"/>
      <c r="AC43" s="559"/>
      <c r="AD43" s="559"/>
      <c r="AE43" s="559"/>
      <c r="AF43" s="559"/>
      <c r="AG43" s="559"/>
      <c r="AH43" s="559"/>
      <c r="AI43" s="559"/>
      <c r="AJ43" s="559"/>
      <c r="AK43" s="559"/>
      <c r="AL43" s="559"/>
      <c r="AM43" s="560"/>
    </row>
    <row r="44" spans="1:41"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</row>
    <row r="45" spans="1:41" ht="14.25">
      <c r="C45" s="100"/>
      <c r="D45" s="782" t="s">
        <v>187</v>
      </c>
      <c r="E45" s="782"/>
      <c r="F45" s="782"/>
      <c r="G45" s="782"/>
      <c r="H45" s="782"/>
      <c r="I45" s="782"/>
      <c r="J45" s="782"/>
      <c r="K45" s="782"/>
      <c r="L45" s="782"/>
      <c r="M45" s="782"/>
      <c r="N45" s="782"/>
      <c r="O45" s="782"/>
      <c r="T45" s="783" t="s">
        <v>353</v>
      </c>
      <c r="U45" s="783"/>
      <c r="V45" s="783"/>
      <c r="W45" s="783"/>
      <c r="X45" s="783"/>
      <c r="Y45" s="783"/>
      <c r="Z45" s="783"/>
    </row>
    <row r="46" spans="1:41" ht="12.75" customHeight="1">
      <c r="C46" s="100"/>
      <c r="D46" s="710"/>
      <c r="E46" s="710"/>
      <c r="F46" s="710"/>
      <c r="G46" s="710"/>
      <c r="H46" s="710"/>
      <c r="I46" s="710"/>
      <c r="J46" s="710"/>
      <c r="K46" s="710"/>
      <c r="L46" s="710"/>
      <c r="M46" s="710"/>
      <c r="N46" s="710"/>
      <c r="O46" s="710"/>
      <c r="T46" s="784"/>
      <c r="U46" s="784"/>
      <c r="V46" s="784"/>
      <c r="W46" s="784"/>
      <c r="X46" s="784"/>
      <c r="Y46" s="784"/>
      <c r="Z46" s="784"/>
    </row>
    <row r="47" spans="1:41" ht="12.75" customHeight="1">
      <c r="C47" s="100"/>
      <c r="D47" s="710"/>
      <c r="E47" s="710"/>
      <c r="F47" s="710"/>
      <c r="G47" s="710"/>
      <c r="H47" s="710"/>
      <c r="I47" s="710"/>
      <c r="J47" s="710"/>
      <c r="K47" s="710"/>
      <c r="L47" s="710"/>
      <c r="M47" s="710"/>
      <c r="N47" s="710"/>
      <c r="O47" s="710"/>
      <c r="T47" s="784"/>
      <c r="U47" s="784"/>
      <c r="V47" s="784"/>
      <c r="W47" s="784"/>
      <c r="X47" s="784"/>
      <c r="Y47" s="784"/>
      <c r="Z47" s="784"/>
    </row>
    <row r="48" spans="1:41" ht="12.75" customHeight="1">
      <c r="C48" s="100"/>
      <c r="D48" s="710"/>
      <c r="E48" s="710"/>
      <c r="F48" s="710"/>
      <c r="G48" s="710"/>
      <c r="H48" s="710"/>
      <c r="I48" s="710"/>
      <c r="J48" s="710"/>
      <c r="K48" s="710"/>
      <c r="L48" s="710"/>
      <c r="M48" s="710"/>
      <c r="N48" s="710"/>
      <c r="O48" s="710"/>
      <c r="T48" s="784"/>
      <c r="U48" s="784"/>
      <c r="V48" s="784"/>
      <c r="W48" s="784"/>
      <c r="X48" s="784"/>
      <c r="Y48" s="784"/>
      <c r="Z48" s="784"/>
    </row>
    <row r="49" spans="3:26" ht="14.25">
      <c r="C49" s="100"/>
      <c r="D49" s="614"/>
      <c r="E49" s="614"/>
      <c r="F49" s="614"/>
      <c r="G49" s="614"/>
      <c r="H49" s="614"/>
      <c r="I49" s="614"/>
      <c r="J49" s="614"/>
      <c r="K49" s="614"/>
      <c r="L49" s="614"/>
      <c r="M49" s="614"/>
      <c r="N49" s="614"/>
      <c r="O49" s="614"/>
    </row>
    <row r="50" spans="3:26" ht="15" customHeight="1">
      <c r="C50" s="100"/>
      <c r="D50" s="711" t="str">
        <f ca="1">IF(OR(AND(ORÇAMENTO!$AF$7=FALSE,ORÇAMENTO!$AF$10=FALSE,RegimeExecucao="Global"),AND(ORÇAMENTO!$AF$7=FALSE,ORÇAMENTO!$AF$10=FALSE,ORÇAMENTO!$AF$11=FALSE,BM!$A$9=FALSE)),"Não foi considerado arredondamento nos valores da planilha.",CONCATENATE("Foi considerado arredondamento de duas casas decimais para ",IF(AND(RegimeExecucao="Unitário",ORÇAMENTO!$AF$7=TRUE),"Quantidade; ",""),IF(AND(RegimeExecucao="Unitário",ORÇAMENTO!$AF$10=TRUE),"Preço unitário; ",""),IF(ORÇAMENTO!$AF$11=TRUE,"Preço total; ",""),,IF(BM!$A$9=TRUE,"Medição.","")))</f>
        <v>Foi considerado arredondamento de duas casas decimais para Quantidade; Preço unitário; Preço total; Medição.</v>
      </c>
      <c r="E50" s="711"/>
      <c r="F50" s="711"/>
      <c r="G50" s="711"/>
      <c r="H50" s="711"/>
      <c r="I50" s="711"/>
      <c r="J50" s="711"/>
      <c r="K50" s="711"/>
      <c r="L50" s="711"/>
    </row>
    <row r="51" spans="3:26">
      <c r="C51" s="100"/>
      <c r="D51" s="780"/>
      <c r="E51" s="780"/>
      <c r="F51" s="780"/>
      <c r="G51" s="780"/>
      <c r="H51" s="780"/>
      <c r="I51" s="780"/>
    </row>
    <row r="52" spans="3:26">
      <c r="C52" s="100"/>
      <c r="D52" s="787" t="str">
        <f>IF(CAIXA.Modo,"","Os serviços medidos informados neste BM encontram-se concluídos, estão em conformidade com os projetos e especificações aceitos pela CAIXA e foram executados de acordo com as normas técnicas.")</f>
        <v>Os serviços medidos informados neste BM encontram-se concluídos, estão em conformidade com os projetos e especificações aceitos pela CAIXA e foram executados de acordo com as normas técnicas.</v>
      </c>
      <c r="E52" s="787"/>
      <c r="F52" s="787"/>
      <c r="G52" s="787"/>
      <c r="H52" s="787"/>
      <c r="I52" s="787"/>
      <c r="J52" s="787"/>
      <c r="K52" s="787"/>
      <c r="L52" s="787"/>
      <c r="M52" s="787"/>
      <c r="N52" s="787"/>
      <c r="O52" s="787"/>
    </row>
    <row r="53" spans="3:26" ht="39.950000000000003" customHeight="1">
      <c r="C53" s="100"/>
      <c r="E53" s="170" t="str">
        <f>Import.Município</f>
        <v>PAINS/MG</v>
      </c>
      <c r="J53" s="788"/>
      <c r="K53" s="788"/>
      <c r="L53" s="788"/>
      <c r="M53" s="788"/>
      <c r="N53" s="100"/>
      <c r="O53" s="100"/>
      <c r="W53" s="788"/>
      <c r="X53" s="788"/>
      <c r="Y53" s="788"/>
      <c r="Z53" s="788"/>
    </row>
    <row r="54" spans="3:26">
      <c r="C54" s="100"/>
      <c r="E54" s="12" t="s">
        <v>188</v>
      </c>
      <c r="J54" s="225" t="s">
        <v>302</v>
      </c>
      <c r="K54" s="100"/>
      <c r="L54" s="100"/>
      <c r="M54" s="100"/>
      <c r="N54" s="100"/>
      <c r="O54" s="100"/>
      <c r="W54" s="225" t="s">
        <v>354</v>
      </c>
      <c r="X54" s="100"/>
      <c r="Y54" s="100"/>
      <c r="Z54" s="100"/>
    </row>
    <row r="55" spans="3:26">
      <c r="C55" s="100"/>
      <c r="E55" s="100"/>
      <c r="J55" s="90" t="s">
        <v>108</v>
      </c>
      <c r="K55" s="349">
        <f t="array" ref="K55:K58">Import.RespFiscalização</f>
        <v>0</v>
      </c>
      <c r="L55" s="91"/>
      <c r="M55" s="100"/>
      <c r="N55" s="100"/>
      <c r="O55" s="100"/>
      <c r="W55" s="90" t="s">
        <v>108</v>
      </c>
      <c r="X55" s="786"/>
      <c r="Y55" s="786"/>
      <c r="Z55" s="786"/>
    </row>
    <row r="56" spans="3:26">
      <c r="C56" s="100"/>
      <c r="E56" s="634">
        <f ca="1">DADOS!$F$48</f>
        <v>45609</v>
      </c>
      <c r="J56" s="90" t="s">
        <v>127</v>
      </c>
      <c r="K56" s="349">
        <v>0</v>
      </c>
      <c r="L56" s="91"/>
      <c r="M56" s="100"/>
      <c r="N56" s="100"/>
      <c r="O56" s="100"/>
      <c r="W56" s="90" t="s">
        <v>355</v>
      </c>
      <c r="X56" s="786"/>
      <c r="Y56" s="786"/>
      <c r="Z56" s="786"/>
    </row>
    <row r="57" spans="3:26">
      <c r="C57" s="100"/>
      <c r="E57" s="173" t="s">
        <v>189</v>
      </c>
      <c r="J57" s="90" t="s">
        <v>109</v>
      </c>
      <c r="K57" s="349">
        <v>0</v>
      </c>
      <c r="L57" s="91"/>
      <c r="M57" s="100"/>
      <c r="N57" s="100"/>
      <c r="O57" s="100"/>
      <c r="W57" s="90" t="s">
        <v>109</v>
      </c>
      <c r="X57" s="786"/>
      <c r="Y57" s="786"/>
      <c r="Z57" s="786"/>
    </row>
    <row r="58" spans="3:26">
      <c r="J58" s="90" t="s">
        <v>110</v>
      </c>
      <c r="K58" s="350">
        <v>0</v>
      </c>
      <c r="W58" s="90"/>
      <c r="X58" s="350"/>
    </row>
  </sheetData>
  <sheetProtection password="BD1F" sheet="1" objects="1" scenarios="1" autoFilter="0"/>
  <autoFilter ref="C15:C43"/>
  <mergeCells count="35">
    <mergeCell ref="X57:Z57"/>
    <mergeCell ref="D52:O52"/>
    <mergeCell ref="J53:M53"/>
    <mergeCell ref="W53:Z53"/>
    <mergeCell ref="X55:Z55"/>
    <mergeCell ref="X56:Z56"/>
    <mergeCell ref="D50:L50"/>
    <mergeCell ref="D51:I51"/>
    <mergeCell ref="AB15:AM15"/>
    <mergeCell ref="D45:O45"/>
    <mergeCell ref="T45:Z45"/>
    <mergeCell ref="D46:O48"/>
    <mergeCell ref="T46:Z48"/>
    <mergeCell ref="D15:E15"/>
    <mergeCell ref="AB11:AM11"/>
    <mergeCell ref="J12:L12"/>
    <mergeCell ref="M12:O12"/>
    <mergeCell ref="Q12:R12"/>
    <mergeCell ref="F7:H7"/>
    <mergeCell ref="I7:L7"/>
    <mergeCell ref="M7:N7"/>
    <mergeCell ref="T11:U11"/>
    <mergeCell ref="C8:C12"/>
    <mergeCell ref="F8:H8"/>
    <mergeCell ref="I8:L8"/>
    <mergeCell ref="M8:N8"/>
    <mergeCell ref="E10:I11"/>
    <mergeCell ref="N10:O11"/>
    <mergeCell ref="D5:E5"/>
    <mergeCell ref="F5:H5"/>
    <mergeCell ref="J5:N5"/>
    <mergeCell ref="A3:B3"/>
    <mergeCell ref="D4:E4"/>
    <mergeCell ref="F4:H4"/>
    <mergeCell ref="J4:N4"/>
  </mergeCells>
  <phoneticPr fontId="37" type="noConversion"/>
  <conditionalFormatting sqref="D14:O14 T14:Z14 D16:O42 T16:Z42">
    <cfRule type="expression" dxfId="17" priority="2428" stopIfTrue="1">
      <formula>OR(ACOMPANHAMENTO="PLE",TIPOORCAMENTO="Proposto",$L14&lt;0,AND($L14&gt;100,RegimeExecucao="Global"),$O14&gt;$I14,$O14&lt;0)</formula>
    </cfRule>
    <cfRule type="expression" dxfId="16" priority="2429" stopIfTrue="1">
      <formula>$A14=1</formula>
    </cfRule>
    <cfRule type="expression" dxfId="15" priority="2430" stopIfTrue="1">
      <formula>$A14&lt;&gt;"S"</formula>
    </cfRule>
  </conditionalFormatting>
  <conditionalFormatting sqref="Q14:R14 AB14:AM14 Q16:R42 AB16:AM42">
    <cfRule type="expression" dxfId="14" priority="2431" stopIfTrue="1">
      <formula>$A14=1</formula>
    </cfRule>
    <cfRule type="expression" dxfId="13" priority="2432" stopIfTrue="1">
      <formula>$A14&lt;&gt;"S"</formula>
    </cfRule>
  </conditionalFormatting>
  <conditionalFormatting sqref="E2">
    <cfRule type="expression" dxfId="12" priority="2433" stopIfTrue="1">
      <formula>Import.RegimeExecução="(SELECIONAR)"</formula>
    </cfRule>
  </conditionalFormatting>
  <conditionalFormatting sqref="F13:H13">
    <cfRule type="expression" dxfId="11" priority="2434" stopIfTrue="1">
      <formula>RegimeExecucao="Global"</formula>
    </cfRule>
  </conditionalFormatting>
  <conditionalFormatting sqref="D15:O15">
    <cfRule type="expression" dxfId="10" priority="2435" stopIfTrue="1">
      <formula>OR(ACOMPANHAMENTO="PLE",TIPOORCAMENTO="Proposto")</formula>
    </cfRule>
  </conditionalFormatting>
  <conditionalFormatting sqref="AB13">
    <cfRule type="cellIs" dxfId="9" priority="2436" stopIfTrue="1" operator="notEqual">
      <formula>1</formula>
    </cfRule>
  </conditionalFormatting>
  <dataValidations count="4">
    <dataValidation type="list" allowBlank="1" showErrorMessage="1" sqref="Z14 Z16:Z42">
      <formula1>"não executado,não previsto no orçamento,material inadequado,desacordo com os projetos,não atende as observações,qualidade insatisfatória,ver observações abaixo"</formula1>
      <formula2>0</formula2>
    </dataValidation>
    <dataValidation type="decimal" errorStyle="warning" allowBlank="1" showErrorMessage="1" errorTitle="Atenção!" error="Digite somente valores entre 0 e a Medição Acumulada." sqref="Q14:R14 Q16:R42">
      <formula1>0</formula1>
      <formula2>BM.MEDAcumulado</formula2>
    </dataValidation>
    <dataValidation type="whole" operator="greaterThan" allowBlank="1" showInputMessage="1" showErrorMessage="1" sqref="O8">
      <formula1>0</formula1>
    </dataValidation>
    <dataValidation type="decimal" errorStyle="warning" allowBlank="1" showErrorMessage="1" errorTitle="Atenção!" error="% medido é superior a 100% (Global)&#10;ou&#10;Quantidade é superior a contratada  (P. Unit)&#10;ou&#10;Evolução acumulada negativa" sqref="AB14:AM14 AB16:AM42">
      <formula1>BM.MinMed</formula1>
      <formula2>BM.MaxMed</formula2>
    </dataValidation>
  </dataValidations>
  <pageMargins left="0.78740157480314998" right="0.78740157480314998" top="0.78740157480314998" bottom="0.78740157480314998" header="0.59055118110236204" footer="0.59055118110236204"/>
  <pageSetup paperSize="9" scale="59" firstPageNumber="0" fitToHeight="0" orientation="landscape" r:id="rId1"/>
  <headerFooter alignWithMargins="0">
    <oddHeader>&amp;C&amp;14I</oddHeader>
    <oddFooter>&amp;LPMv3.0.6&amp;R&amp;P / &amp;N</oddFooter>
  </headerFooter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Plan14">
    <pageSetUpPr fitToPage="1"/>
  </sheetPr>
  <dimension ref="A1:AO52"/>
  <sheetViews>
    <sheetView showGridLines="0" zoomScale="90" zoomScaleNormal="90" zoomScaleSheetLayoutView="90" workbookViewId="0">
      <pane xSplit="6" ySplit="13" topLeftCell="G14" activePane="bottomRight" state="frozen"/>
      <selection activeCell="D1" sqref="D1"/>
      <selection pane="topRight" activeCell="G1" sqref="G1"/>
      <selection pane="bottomLeft" activeCell="D14" sqref="D14"/>
      <selection pane="bottomRight"/>
    </sheetView>
  </sheetViews>
  <sheetFormatPr defaultRowHeight="12.75"/>
  <cols>
    <col min="1" max="3" width="9.140625" hidden="1" customWidth="1"/>
    <col min="4" max="4" width="3.7109375" customWidth="1"/>
    <col min="5" max="5" width="7.7109375" customWidth="1"/>
    <col min="6" max="6" width="35.7109375" customWidth="1"/>
    <col min="7" max="7" width="15.7109375" customWidth="1"/>
    <col min="8" max="8" width="12.7109375" customWidth="1"/>
    <col min="9" max="9" width="7.7109375" customWidth="1"/>
    <col min="10" max="10" width="16.7109375" customWidth="1"/>
    <col min="11" max="11" width="5.7109375" customWidth="1"/>
    <col min="12" max="15" width="16.7109375" customWidth="1"/>
    <col min="16" max="16" width="11.7109375" customWidth="1"/>
    <col min="17" max="21" width="9.140625" hidden="1" customWidth="1"/>
    <col min="22" max="22" width="12.140625" hidden="1" customWidth="1"/>
    <col min="23" max="24" width="5.7109375" customWidth="1"/>
    <col min="25" max="26" width="16.7109375" customWidth="1"/>
    <col min="27" max="27" width="1.7109375" customWidth="1"/>
    <col min="29" max="41" width="9.140625" hidden="1" customWidth="1"/>
  </cols>
  <sheetData>
    <row r="1" spans="1:41" ht="30" customHeight="1">
      <c r="F1" s="436" t="str">
        <f>CONCATENATE("RRE - RELATÓRIO RESUMO DO EMPREENDIMENTO - ",IF(CAIXA.Modo,"CAIXA","TOMADOR"))</f>
        <v>RRE - RELATÓRIO RESUMO DO EMPREENDIMENTO - TOMADOR</v>
      </c>
      <c r="H1" s="10"/>
      <c r="I1" s="10"/>
      <c r="AC1" s="19"/>
      <c r="AD1" s="437" t="s">
        <v>356</v>
      </c>
      <c r="AE1" s="438" t="s">
        <v>357</v>
      </c>
    </row>
    <row r="2" spans="1:41">
      <c r="AC2" s="439" t="str">
        <f>J25</f>
        <v>Repasse</v>
      </c>
      <c r="AD2" s="440">
        <f ca="1">AD6-AD4-AD3</f>
        <v>0</v>
      </c>
      <c r="AE2" s="440">
        <f ca="1">AE6-AE4-AE3</f>
        <v>0</v>
      </c>
    </row>
    <row r="3" spans="1:41">
      <c r="E3" s="717" t="s">
        <v>147</v>
      </c>
      <c r="F3" s="717"/>
      <c r="G3" s="717"/>
      <c r="H3" s="717"/>
      <c r="I3" s="680" t="s">
        <v>146</v>
      </c>
      <c r="J3" s="680"/>
      <c r="K3" s="680"/>
      <c r="L3" s="107" t="s">
        <v>442</v>
      </c>
      <c r="M3" s="180"/>
      <c r="N3" s="441"/>
      <c r="O3" s="442"/>
      <c r="P3" s="354" t="s">
        <v>210</v>
      </c>
      <c r="R3" s="180"/>
      <c r="S3" s="180"/>
      <c r="T3" s="180"/>
      <c r="U3" s="180"/>
      <c r="AC3" s="439" t="s">
        <v>169</v>
      </c>
      <c r="AD3" s="440">
        <f ca="1">SUM(T13:OFFSET(T24,-1,0))</f>
        <v>0</v>
      </c>
      <c r="AE3" s="440">
        <f ca="1">IF(OR($O$28&lt;$M$28,$M$26&gt;$AD$3),MIN($M$26,$L$26),MIN($AD$3,$N$28-$N$27+$M$26))</f>
        <v>0</v>
      </c>
    </row>
    <row r="4" spans="1:41" ht="12.75" customHeight="1">
      <c r="E4" s="715" t="str">
        <f>Import.Proponente</f>
        <v>MUNICÍPIO DE PAINS</v>
      </c>
      <c r="F4" s="715"/>
      <c r="G4" s="715"/>
      <c r="H4" s="715"/>
      <c r="I4" s="677" t="str">
        <f>Import.CR</f>
        <v>17405-2024</v>
      </c>
      <c r="J4" s="677"/>
      <c r="K4" s="677"/>
      <c r="L4" s="68" t="str">
        <f>Import.TransfereGOV</f>
        <v>965783/2024</v>
      </c>
      <c r="M4" s="801" t="s">
        <v>307</v>
      </c>
      <c r="N4" s="802"/>
      <c r="O4" s="803"/>
      <c r="P4" s="443" t="str">
        <f>import.recurso</f>
        <v>OGU</v>
      </c>
      <c r="R4" s="180"/>
      <c r="S4" s="180"/>
      <c r="T4" s="442"/>
      <c r="U4" s="442"/>
      <c r="AC4" s="439" t="s">
        <v>358</v>
      </c>
      <c r="AD4" s="440">
        <f ca="1">SUM(U13:OFFSET(U24,-1,0))</f>
        <v>0</v>
      </c>
      <c r="AE4" s="440">
        <f ca="1">IF(OR($O$28&lt;$M$28,$M$27&gt;$AD$4),MIN($M$27,$L$27),MIN($AD$4,$N$28+$M$27))</f>
        <v>0</v>
      </c>
    </row>
    <row r="5" spans="1:41" ht="5.0999999999999996" customHeight="1">
      <c r="H5" s="357"/>
      <c r="I5" s="357"/>
      <c r="J5" s="357"/>
      <c r="K5" s="357"/>
      <c r="L5" s="357"/>
      <c r="M5" s="444"/>
      <c r="N5" s="341"/>
      <c r="O5" s="55"/>
      <c r="R5" s="180"/>
      <c r="S5" s="180"/>
      <c r="T5" s="180"/>
      <c r="U5" s="180"/>
    </row>
    <row r="6" spans="1:41" ht="12.75" customHeight="1">
      <c r="E6" s="680" t="s">
        <v>202</v>
      </c>
      <c r="F6" s="680"/>
      <c r="G6" s="680"/>
      <c r="H6" s="680"/>
      <c r="I6" s="789" t="s">
        <v>306</v>
      </c>
      <c r="J6" s="789"/>
      <c r="K6" s="789"/>
      <c r="L6" s="789"/>
      <c r="M6" s="67" t="str">
        <f>IF(import.recurso="FGTS","FINANCIAMENTO","REPASSE")</f>
        <v>REPASSE</v>
      </c>
      <c r="N6" s="120" t="s">
        <v>308</v>
      </c>
      <c r="O6" s="67" t="s">
        <v>309</v>
      </c>
      <c r="P6" s="181" t="s">
        <v>359</v>
      </c>
      <c r="R6" s="180"/>
      <c r="S6" s="180"/>
      <c r="T6" s="180"/>
      <c r="U6" s="180"/>
      <c r="AC6" s="439" t="s">
        <v>360</v>
      </c>
      <c r="AD6" s="440">
        <f ca="1">$O$28</f>
        <v>0</v>
      </c>
      <c r="AE6" s="440">
        <f ca="1">AD6</f>
        <v>0</v>
      </c>
    </row>
    <row r="7" spans="1:41" ht="12.75" customHeight="1">
      <c r="D7" s="706" t="s">
        <v>209</v>
      </c>
      <c r="E7" s="677" t="str">
        <f>Import.Apelido</f>
        <v>RECAPEAMENTO DE VIA PÚBLICA</v>
      </c>
      <c r="F7" s="677"/>
      <c r="G7" s="677"/>
      <c r="H7" s="677"/>
      <c r="I7" s="790" t="str">
        <f>Import.Município</f>
        <v>PAINS/MG</v>
      </c>
      <c r="J7" s="790"/>
      <c r="K7" s="790"/>
      <c r="L7" s="790"/>
      <c r="M7" s="445">
        <f>Import.Repasse</f>
        <v>549147.59</v>
      </c>
      <c r="N7" s="446">
        <f>Import.Contrapartida</f>
        <v>5491.47</v>
      </c>
      <c r="O7" s="445">
        <f>M7+N7</f>
        <v>554639.05999999994</v>
      </c>
      <c r="P7" s="566">
        <f ca="1">IF(ACOMPANHAMENTO="PLE",PLE.Medicao,BM.medicao)</f>
        <v>1</v>
      </c>
      <c r="R7" s="180"/>
      <c r="S7" s="180"/>
      <c r="T7" s="180"/>
      <c r="U7" s="180"/>
    </row>
    <row r="8" spans="1:41">
      <c r="D8" s="706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R8" s="180"/>
      <c r="S8" s="180"/>
      <c r="T8" s="180"/>
      <c r="U8" s="180"/>
    </row>
    <row r="9" spans="1:41" ht="12.75" customHeight="1">
      <c r="D9" s="706"/>
      <c r="G9" s="791" t="s">
        <v>361</v>
      </c>
      <c r="H9" s="791"/>
      <c r="I9" s="791" t="s">
        <v>362</v>
      </c>
      <c r="J9" s="791"/>
      <c r="K9" s="447"/>
      <c r="L9" s="792" t="s">
        <v>313</v>
      </c>
      <c r="M9" s="448" t="s">
        <v>316</v>
      </c>
      <c r="N9" s="358" t="s">
        <v>238</v>
      </c>
      <c r="P9" s="449"/>
      <c r="R9" s="180"/>
      <c r="S9" s="180"/>
      <c r="T9" s="180"/>
      <c r="U9" s="180"/>
      <c r="V9" s="9" t="s">
        <v>363</v>
      </c>
    </row>
    <row r="10" spans="1:41" ht="12.75" customHeight="1">
      <c r="D10" s="706"/>
      <c r="G10" s="679" t="str">
        <f ca="1">IF(J10="-","-",IF($P$24&lt;J10,"Atrasada",IF($P$24&gt;J10,"Adiantada","Normal")))</f>
        <v>Atrasada</v>
      </c>
      <c r="H10" s="679"/>
      <c r="I10" s="450">
        <f ca="1">DATE(YEAR($L$35),MONTH($L$35),1)</f>
        <v>45597</v>
      </c>
      <c r="J10" s="451">
        <f ca="1">IF($I$10&lt;DATE(YEAR(CRONO!$T$13),MONTH(CRONO!$T$13),1),0,IF($I$10&gt;CRONO!$AE$13,1,INDEX(CRONO!$S$23:$AG$23,MATCH(RRE!$I$10,CRONO!$S$13:$AG$13,0))))</f>
        <v>1</v>
      </c>
      <c r="K10" s="447"/>
      <c r="L10" s="792"/>
      <c r="M10" s="452">
        <f ca="1">QCI!L10</f>
        <v>545013.75</v>
      </c>
      <c r="N10" s="360">
        <f ca="1">QCI!M10</f>
        <v>5491.47</v>
      </c>
      <c r="P10" s="449"/>
      <c r="R10" s="180"/>
      <c r="S10" s="180"/>
      <c r="T10" s="180"/>
      <c r="U10" s="180"/>
      <c r="AC10" s="793" t="s">
        <v>364</v>
      </c>
      <c r="AD10" s="793"/>
      <c r="AE10" s="793"/>
      <c r="AF10" s="793"/>
      <c r="AG10" s="793"/>
      <c r="AH10" s="793"/>
      <c r="AJ10" s="793" t="s">
        <v>4</v>
      </c>
      <c r="AK10" s="793"/>
      <c r="AL10" s="793"/>
      <c r="AM10" s="793"/>
      <c r="AN10" s="793"/>
      <c r="AO10" s="793"/>
    </row>
    <row r="11" spans="1:41" ht="20.100000000000001" customHeight="1">
      <c r="D11" s="706"/>
      <c r="M11" s="623" t="str">
        <f>IF(CAIXA.Modo,"Valores Aferidos (R$)","Valores Medidos (R$)")</f>
        <v>Valores Medidos (R$)</v>
      </c>
      <c r="N11" s="623"/>
      <c r="O11" s="623"/>
      <c r="R11" s="453"/>
      <c r="S11" s="453"/>
      <c r="T11" s="623"/>
      <c r="U11" s="623"/>
      <c r="V11" s="620" t="s">
        <v>411</v>
      </c>
      <c r="Y11" s="794" t="str">
        <f>IF(CAIXA.Modo,"Valores Aferidos (R$)","Valores Medidos (R$)")</f>
        <v>Valores Medidos (R$)</v>
      </c>
      <c r="Z11" s="794"/>
      <c r="AC11" s="795" t="s">
        <v>365</v>
      </c>
      <c r="AD11" s="795"/>
      <c r="AE11" s="795"/>
      <c r="AF11" s="795" t="s">
        <v>366</v>
      </c>
      <c r="AG11" s="795"/>
      <c r="AH11" s="795"/>
      <c r="AJ11" s="795" t="s">
        <v>365</v>
      </c>
      <c r="AK11" s="795"/>
      <c r="AL11" s="795"/>
      <c r="AM11" s="795" t="s">
        <v>366</v>
      </c>
      <c r="AN11" s="795"/>
      <c r="AO11" s="795"/>
    </row>
    <row r="12" spans="1:41" hidden="1">
      <c r="A12" t="e">
        <f ca="1">MATCH(E12,ORÇAMENTO!$E$15:$E$43,0)-1</f>
        <v>#N/A</v>
      </c>
      <c r="B12" t="e">
        <f ca="1">IF(ISERROR($A12),NA(),OFFSET(ORÇAMENTO!$D$15,$A12,0))</f>
        <v>#N/A</v>
      </c>
      <c r="C12" t="str">
        <f ca="1">QCI!B12</f>
        <v>Branco</v>
      </c>
      <c r="D12" t="str">
        <f ca="1">IF(L12&gt;0,"F","")</f>
        <v/>
      </c>
      <c r="E12" s="455">
        <f>QCI!D12</f>
        <v>-1</v>
      </c>
      <c r="F12" s="456" t="str">
        <f ca="1">QCI!G12</f>
        <v/>
      </c>
      <c r="G12" s="457">
        <f>QCI!H12</f>
        <v>0</v>
      </c>
      <c r="H12" s="458">
        <f>QCI!I12</f>
        <v>0</v>
      </c>
      <c r="I12" s="459" t="str">
        <f ca="1">QCI!J12</f>
        <v/>
      </c>
      <c r="J12" s="460" t="str">
        <f ca="1">QCI!K12</f>
        <v/>
      </c>
      <c r="K12" s="461" t="str">
        <f ca="1">IF($C12="Automático",IF(ACOMPANHAMENTO="BM",BM.medicao,PLE.Medicao),IF(ISBLANK($X12),"",$X12))</f>
        <v/>
      </c>
      <c r="L12" s="462">
        <f ca="1">QCI!$O12</f>
        <v>0</v>
      </c>
      <c r="M12" s="464">
        <f ca="1">ROUND(IF(C12="Automático",AE12+AL12,Y12),2)</f>
        <v>0</v>
      </c>
      <c r="N12" s="465">
        <f ca="1">O12-M12</f>
        <v>0</v>
      </c>
      <c r="O12" s="466">
        <f ca="1">ROUND(IF(C12="Automático",AH12+AO12,Z12),2)</f>
        <v>0</v>
      </c>
      <c r="P12" s="467">
        <f ca="1">O12/(L12+10^-12)</f>
        <v>0</v>
      </c>
      <c r="R12" s="463">
        <f ca="1">ROUND(IF($C12="Automático",AC12+AJ12,$Y12*IF(ISERROR(QCI!$AA12/QCI!$O12),0,QCI!$AA12/QCI!$O12)),2)</f>
        <v>0</v>
      </c>
      <c r="S12" s="463">
        <f ca="1">ROUND(IF($C12="Automático",AD12+AK12,$Y12*IF(ISERROR(QCI!$AB12/QCI!$O12),0,QCI!$AB12/QCI!$O12)),2)</f>
        <v>0</v>
      </c>
      <c r="T12" s="463">
        <f ca="1">ROUND(IF($C12="Automático",AF12+AM12,$Z12*IF(ISERROR(QCI!$AA12/QCI!$O12),0,QCI!$AA12/QCI!$O12)),2)</f>
        <v>0</v>
      </c>
      <c r="U12" s="463">
        <f ca="1">ROUND(IF($C12="Automático",AG12+AN12,$Z12*IF(ISERROR(QCI!$AB12/QCI!$O12),0,QCI!$AB12/QCI!$O12)),2)</f>
        <v>0</v>
      </c>
      <c r="V12" s="621" t="str">
        <f ca="1">IF(AND($L12&gt;0,$J12&lt;&gt;0,$J12&lt;&gt;"",COUNTIF($J12:$J$13,$J12)=1),OFFSET(V12,-1,0)+1,OFFSET(V12,-1,0))</f>
        <v>Lista CTEFs</v>
      </c>
      <c r="X12" s="368"/>
      <c r="Y12" s="369"/>
      <c r="Z12" s="371"/>
      <c r="AC12" s="229">
        <f ca="1">IF(ACOMPANHAMENTO&lt;&gt;"PLE",0,SUMPRODUCT((OFFSET(CÁLCULO!$AX$15:$BH$15,$A12,0,$B12)&lt;=(PLE.Medicao-1))*OFFSET(CÁLCULO!$AB$15:$AL$15,$A12,0,$B12)*OFFSET(ORÇAMENTO!$AA$15,$A12,0,$B12)/(OFFSET(ORÇAMENTO!$X$15,$A12,0,$B12)+10^-12))+IF(AUTOEVENTO="Manual",SUMPRODUCT((OFFSET(CÁLCULO!$M$15,$A12,0,$B12)=1)*OFFSET(ORÇAMENTO!$AA$15,$A12,0,$B12)*(PLE!$AE$9-PLE!$Y$9)),0))</f>
        <v>0</v>
      </c>
      <c r="AD12" s="229">
        <f ca="1">IF(ACOMPANHAMENTO&lt;&gt;"PLE",0,SUMPRODUCT((OFFSET(CÁLCULO!$AX$15:$BH$15,$A12,0,$B12)&lt;=(PLE.Medicao-1))*OFFSET(CÁLCULO!$AB$15:$AL$15,$A12,0,$B12)*OFFSET(ORÇAMENTO!$AB$15,$A12,0,$B12)/(OFFSET(ORÇAMENTO!$X$15,$A12,0,$B12)+10^-12))+IF(AUTOEVENTO="Manual",SUMPRODUCT((OFFSET(CÁLCULO!$M$15,$A12,0,$B12)=1)*OFFSET(ORÇAMENTO!$AB$15,$A12,0,$B12)*(PLE!$AE$9-PLE!$Y$9)),0))</f>
        <v>0</v>
      </c>
      <c r="AE12" s="229">
        <f ca="1">ROUND(IF(ACOMPANHAMENTO&lt;&gt;"PLE",0,SUMIF(OFFSET(CÁLCULO!$AX$15:$BH$15,$A12,0,$B12),"&lt;="&amp;(PLE.Medicao-1),OFFSET(CÁLCULO!$AB$15:$AL$15,$A12,0,$B12))+IF(AUTOEVENTO="Manual",SUMIF(OFFSET(CÁLCULO!$M$15,$A12,0,$B12),1,OFFSET(ORÇAMENTO!$X$15,$A12,0,$B12))*(PLE!$AE$9-PLE!$Y$9),0)),2)</f>
        <v>0</v>
      </c>
      <c r="AF12" s="229">
        <f ca="1">IF(ACOMPANHAMENTO&lt;&gt;"PLE",0,SUMPRODUCT((OFFSET(CÁLCULO!$AX$15:$BH$15,$A12,0,$B12)&lt;=PLE.Medicao)*OFFSET(CÁLCULO!$AB$15:$AL$15,$A12,0,$B12)*OFFSET(ORÇAMENTO!$AA$15,$A12,0,$B12)/(OFFSET(ORÇAMENTO!$X$15,$A12,0,$B12)+10^-12))+IF(AUTOEVENTO="Manual",SUMPRODUCT((OFFSET(CÁLCULO!$M$15,$A12,0,$B12)=1)*OFFSET(ORÇAMENTO!$AA$15,$A12,0,$B12)*PLE!$AE$9),0))</f>
        <v>0</v>
      </c>
      <c r="AG12" s="229">
        <f ca="1">IF(ACOMPANHAMENTO&lt;&gt;"PLE",0,SUMPRODUCT((OFFSET(CÁLCULO!$AX$15:$BH$15,$A12,0,$B12)&lt;=PLE.Medicao)*OFFSET(CÁLCULO!$AB$15:$AL$15,$A12,0,$B12)*OFFSET(ORÇAMENTO!$AB$15,$A12,0,$B12)/(OFFSET(ORÇAMENTO!$X$15,$A12,0,$B12)+10^-12))+IF(AUTOEVENTO="Manual",SUMPRODUCT((OFFSET(CÁLCULO!$M$15,$A12,0,$B12)=1)*OFFSET(ORÇAMENTO!$AB$15,$A12,0,$B12)*PLE!$AE$9),0))</f>
        <v>0</v>
      </c>
      <c r="AH12" s="229">
        <f ca="1">ROUND(IF(ACOMPANHAMENTO&lt;&gt;"PLE",0,SUMIF(OFFSET(CÁLCULO!$AX$15:$BH$15,$A12,0,$B12),"&lt;="&amp;PLE.Medicao,OFFSET(CÁLCULO!$AB$15:$AL$15,$A12,0,$B12))+IF(AUTOEVENTO="Manual",SUMIF(OFFSET(CÁLCULO!$M$15,$A12,0,$B12),1,OFFSET(ORÇAMENTO!$X$15,$A12,0,$B12))*PLE!$AE$9,0)),2)</f>
        <v>0</v>
      </c>
      <c r="AJ12" s="229" t="e">
        <f ca="1">IF(ACOMPANHAMENTO&lt;&gt;"BM",0,SUMPRODUCT(OFFSET(BM!$M$15,$A12,0,$B12)*(OFFSET(BM!$A$15,$A12,0,$B12)="S")*OFFSET(ORÇAMENTO!AA$15,$A12,0,$B12)/(OFFSET(ORÇAMENTO!$X$15,$A12,0,$B12)+10^-12)))</f>
        <v>#N/A</v>
      </c>
      <c r="AK12" s="229" t="e">
        <f ca="1">IF(ACOMPANHAMENTO&lt;&gt;"BM",0,SUMPRODUCT(OFFSET(BM!$M$15,$A12,0,$B12)*(OFFSET(BM!$A$15,$A12,0,$B12)="S")*OFFSET(ORÇAMENTO!AB$15,$A12,0,$B12)/(OFFSET(ORÇAMENTO!$X$15,$A12,0,$B12)+10^-12)))</f>
        <v>#N/A</v>
      </c>
      <c r="AL12" s="229" t="e">
        <f ca="1">IF(ACOMPANHAMENTO&lt;&gt;"BM",0,OFFSET(BM!$M$15,$A12,0))</f>
        <v>#N/A</v>
      </c>
      <c r="AM12" s="229" t="e">
        <f ca="1">IF(ACOMPANHAMENTO&lt;&gt;"BM",0,SUMPRODUCT(OFFSET(BM!$O$15,$A12,0,$B12)*(OFFSET(BM!$A$15,$A12,0,$B12)="S")*OFFSET(ORÇAMENTO!AA$15,$A12,0,$B12)/(OFFSET(ORÇAMENTO!$X$15,$A12,0,$B12)+10^-12)))</f>
        <v>#N/A</v>
      </c>
      <c r="AN12" s="229" t="e">
        <f ca="1">IF(ACOMPANHAMENTO&lt;&gt;"BM",0,SUMPRODUCT(OFFSET(BM!$O$15,$A12,0,$B12)*(OFFSET(BM!$A$15,$A12,0,$B12)="S")*OFFSET(ORÇAMENTO!AB$15,$A12,0,$B12)/(OFFSET(ORÇAMENTO!$X$15,$A12,0,$B12)+10^-12)))</f>
        <v>#N/A</v>
      </c>
      <c r="AO12" s="229" t="e">
        <f ca="1">IF(ACOMPANHAMENTO&lt;&gt;"BM",0,OFFSET(BM!$O$15,$A12,0))</f>
        <v>#N/A</v>
      </c>
    </row>
    <row r="13" spans="1:41" ht="39.950000000000003" customHeight="1">
      <c r="A13" s="375" t="s">
        <v>367</v>
      </c>
      <c r="B13" s="12" t="s">
        <v>221</v>
      </c>
      <c r="C13" s="375" t="s">
        <v>318</v>
      </c>
      <c r="D13" s="131" t="s">
        <v>217</v>
      </c>
      <c r="E13" s="132" t="s">
        <v>195</v>
      </c>
      <c r="F13" s="132" t="s">
        <v>321</v>
      </c>
      <c r="G13" s="132" t="s">
        <v>161</v>
      </c>
      <c r="H13" s="132" t="s">
        <v>203</v>
      </c>
      <c r="I13" s="132" t="s">
        <v>322</v>
      </c>
      <c r="J13" s="132" t="s">
        <v>323</v>
      </c>
      <c r="K13" s="376" t="s">
        <v>368</v>
      </c>
      <c r="L13" s="132" t="s">
        <v>369</v>
      </c>
      <c r="M13" s="376" t="s">
        <v>365</v>
      </c>
      <c r="N13" s="377" t="s">
        <v>372</v>
      </c>
      <c r="O13" s="378" t="s">
        <v>366</v>
      </c>
      <c r="P13" s="132" t="s">
        <v>375</v>
      </c>
      <c r="R13" s="468" t="s">
        <v>370</v>
      </c>
      <c r="S13" s="468" t="s">
        <v>371</v>
      </c>
      <c r="T13" s="468" t="s">
        <v>373</v>
      </c>
      <c r="U13" s="468" t="s">
        <v>374</v>
      </c>
      <c r="V13" s="622"/>
      <c r="X13" s="376" t="s">
        <v>368</v>
      </c>
      <c r="Y13" s="197" t="s">
        <v>365</v>
      </c>
      <c r="Z13" s="198" t="s">
        <v>366</v>
      </c>
      <c r="AC13" s="454" t="s">
        <v>169</v>
      </c>
      <c r="AD13" s="454" t="s">
        <v>358</v>
      </c>
      <c r="AE13" s="454" t="s">
        <v>360</v>
      </c>
      <c r="AF13" s="454" t="s">
        <v>169</v>
      </c>
      <c r="AG13" s="454" t="s">
        <v>358</v>
      </c>
      <c r="AH13" s="454" t="s">
        <v>360</v>
      </c>
      <c r="AJ13" s="454" t="s">
        <v>169</v>
      </c>
      <c r="AK13" s="454" t="s">
        <v>358</v>
      </c>
      <c r="AL13" s="454" t="s">
        <v>360</v>
      </c>
      <c r="AM13" s="454" t="s">
        <v>169</v>
      </c>
      <c r="AN13" s="454" t="s">
        <v>358</v>
      </c>
      <c r="AO13" s="454" t="s">
        <v>360</v>
      </c>
    </row>
    <row r="14" spans="1:41">
      <c r="A14">
        <f ca="1">MATCH(E14,ORÇAMENTO!$E$15:$E$43,0)-1</f>
        <v>1</v>
      </c>
      <c r="B14">
        <f ca="1">IF(ISERROR($A14),NA(),OFFSET(ORÇAMENTO!$D$15,$A14,0))</f>
        <v>27</v>
      </c>
      <c r="C14" t="str">
        <f ca="1">QCI!B14</f>
        <v>Automático</v>
      </c>
      <c r="D14" t="str">
        <f t="shared" ref="D14:D22" ca="1" si="0">IF(L14&gt;0,"F","")</f>
        <v>F</v>
      </c>
      <c r="E14" s="455">
        <f>QCI!D14</f>
        <v>1</v>
      </c>
      <c r="F14" s="456" t="str">
        <f ca="1">QCI!G14</f>
        <v>RECAPEAMENTO DE VIA PÚBLICA</v>
      </c>
      <c r="G14" s="457" t="str">
        <f>QCI!H14</f>
        <v>Em Análise</v>
      </c>
      <c r="H14" s="458">
        <f>QCI!I14</f>
        <v>1</v>
      </c>
      <c r="I14" s="459" t="str">
        <f ca="1">QCI!J14</f>
        <v>m²</v>
      </c>
      <c r="J14" s="460" t="str">
        <f ca="1">QCI!K14</f>
        <v>LOTE 1</v>
      </c>
      <c r="K14" s="461">
        <f ca="1">IF($C14="Automático",IF(ACOMPANHAMENTO="BM",BM.medicao,PLE.Medicao),IF(ISBLANK($X14),"",$X14))</f>
        <v>1</v>
      </c>
      <c r="L14" s="462">
        <f ca="1">QCI!$O14</f>
        <v>4133.84</v>
      </c>
      <c r="M14" s="464">
        <f t="shared" ref="M14:M22" ca="1" si="1">ROUND(IF(C14="Automático",AE14+AL14,Y14),2)</f>
        <v>0</v>
      </c>
      <c r="N14" s="465">
        <f t="shared" ref="N14:N22" ca="1" si="2">O14-M14</f>
        <v>0</v>
      </c>
      <c r="O14" s="466">
        <f t="shared" ref="O14:O22" ca="1" si="3">ROUND(IF(C14="Automático",AH14+AO14,Z14),2)</f>
        <v>0</v>
      </c>
      <c r="P14" s="467">
        <f t="shared" ref="P14:P22" ca="1" si="4">O14/(L14+10^-12)</f>
        <v>0</v>
      </c>
      <c r="R14" s="463">
        <f ca="1">ROUND(IF($C14="Automático",AC14+AJ14,$Y14*IF(ISERROR(QCI!$AA14/QCI!$O14),0,QCI!$AA14/QCI!$O14)),2)</f>
        <v>0</v>
      </c>
      <c r="S14" s="463">
        <f ca="1">ROUND(IF($C14="Automático",AD14+AK14,$Y14*IF(ISERROR(QCI!$AB14/QCI!$O14),0,QCI!$AB14/QCI!$O14)),2)</f>
        <v>0</v>
      </c>
      <c r="T14" s="463">
        <f ca="1">ROUND(IF($C14="Automático",AF14+AM14,$Z14*IF(ISERROR(QCI!$AA14/QCI!$O14),0,QCI!$AA14/QCI!$O14)),2)</f>
        <v>0</v>
      </c>
      <c r="U14" s="463">
        <f ca="1">ROUND(IF($C14="Automático",AG14+AN14,$Z14*IF(ISERROR(QCI!$AB14/QCI!$O14),0,QCI!$AB14/QCI!$O14)),2)</f>
        <v>0</v>
      </c>
      <c r="V14" s="621">
        <f ca="1">IF(AND($L14&gt;0,$J14&lt;&gt;0,$J14&lt;&gt;"",COUNTIF($J$13:$J14,$J14)=1),OFFSET(V14,-1,0)+1,OFFSET(V14,-1,0))</f>
        <v>1</v>
      </c>
      <c r="X14" s="368"/>
      <c r="Y14" s="369"/>
      <c r="Z14" s="371"/>
      <c r="AC14" s="229">
        <f ca="1">IF(ACOMPANHAMENTO&lt;&gt;"PLE",0,SUMPRODUCT((OFFSET(CÁLCULO!$AX$15:$BH$15,$A14,0,$B14)&lt;=(PLE.Medicao-1))*OFFSET(CÁLCULO!$AB$15:$AL$15,$A14,0,$B14)*OFFSET(ORÇAMENTO!$AA$15,$A14,0,$B14)/(OFFSET(ORÇAMENTO!$X$15,$A14,0,$B14)+10^-12))+IF(AUTOEVENTO="Manual",SUMPRODUCT((OFFSET(CÁLCULO!$M$15,$A14,0,$B14)=1)*OFFSET(ORÇAMENTO!$AA$15,$A14,0,$B14)*(PLE!$AE$9-PLE!$Y$9)),0))</f>
        <v>0</v>
      </c>
      <c r="AD14" s="229">
        <f ca="1">IF(ACOMPANHAMENTO&lt;&gt;"PLE",0,SUMPRODUCT((OFFSET(CÁLCULO!$AX$15:$BH$15,$A14,0,$B14)&lt;=(PLE.Medicao-1))*OFFSET(CÁLCULO!$AB$15:$AL$15,$A14,0,$B14)*OFFSET(ORÇAMENTO!$AB$15,$A14,0,$B14)/(OFFSET(ORÇAMENTO!$X$15,$A14,0,$B14)+10^-12))+IF(AUTOEVENTO="Manual",SUMPRODUCT((OFFSET(CÁLCULO!$M$15,$A14,0,$B14)=1)*OFFSET(ORÇAMENTO!$AB$15,$A14,0,$B14)*(PLE!$AE$9-PLE!$Y$9)),0))</f>
        <v>0</v>
      </c>
      <c r="AE14" s="229">
        <f ca="1">ROUND(IF(ACOMPANHAMENTO&lt;&gt;"PLE",0,SUMIF(OFFSET(CÁLCULO!$AX$15:$BH$15,$A14,0,$B14),"&lt;="&amp;(PLE.Medicao-1),OFFSET(CÁLCULO!$AB$15:$AL$15,$A14,0,$B14))+IF(AUTOEVENTO="Manual",SUMIF(OFFSET(CÁLCULO!$M$15,$A14,0,$B14),1,OFFSET(ORÇAMENTO!$X$15,$A14,0,$B14))*(PLE!$AE$9-PLE!$Y$9),0)),2)</f>
        <v>0</v>
      </c>
      <c r="AF14" s="229">
        <f ca="1">IF(ACOMPANHAMENTO&lt;&gt;"PLE",0,SUMPRODUCT((OFFSET(CÁLCULO!$AX$15:$BH$15,$A14,0,$B14)&lt;=PLE.Medicao)*OFFSET(CÁLCULO!$AB$15:$AL$15,$A14,0,$B14)*OFFSET(ORÇAMENTO!$AA$15,$A14,0,$B14)/(OFFSET(ORÇAMENTO!$X$15,$A14,0,$B14)+10^-12))+IF(AUTOEVENTO="Manual",SUMPRODUCT((OFFSET(CÁLCULO!$M$15,$A14,0,$B14)=1)*OFFSET(ORÇAMENTO!$AA$15,$A14,0,$B14)*PLE!$AE$9),0))</f>
        <v>0</v>
      </c>
      <c r="AG14" s="229">
        <f ca="1">IF(ACOMPANHAMENTO&lt;&gt;"PLE",0,SUMPRODUCT((OFFSET(CÁLCULO!$AX$15:$BH$15,$A14,0,$B14)&lt;=PLE.Medicao)*OFFSET(CÁLCULO!$AB$15:$AL$15,$A14,0,$B14)*OFFSET(ORÇAMENTO!$AB$15,$A14,0,$B14)/(OFFSET(ORÇAMENTO!$X$15,$A14,0,$B14)+10^-12))+IF(AUTOEVENTO="Manual",SUMPRODUCT((OFFSET(CÁLCULO!$M$15,$A14,0,$B14)=1)*OFFSET(ORÇAMENTO!$AB$15,$A14,0,$B14)*PLE!$AE$9),0))</f>
        <v>0</v>
      </c>
      <c r="AH14" s="229">
        <f ca="1">ROUND(IF(ACOMPANHAMENTO&lt;&gt;"PLE",0,SUMIF(OFFSET(CÁLCULO!$AX$15:$BH$15,$A14,0,$B14),"&lt;="&amp;PLE.Medicao,OFFSET(CÁLCULO!$AB$15:$AL$15,$A14,0,$B14))+IF(AUTOEVENTO="Manual",SUMIF(OFFSET(CÁLCULO!$M$15,$A14,0,$B14),1,OFFSET(ORÇAMENTO!$X$15,$A14,0,$B14))*PLE!$AE$9,0)),2)</f>
        <v>0</v>
      </c>
      <c r="AJ14" s="229">
        <f ca="1">IF(ACOMPANHAMENTO&lt;&gt;"BM",0,SUMPRODUCT(OFFSET(BM!$M$15,$A14,0,$B14)*(OFFSET(BM!$A$15,$A14,0,$B14)="S")*OFFSET(ORÇAMENTO!AA$15,$A14,0,$B14)/(OFFSET(ORÇAMENTO!$X$15,$A14,0,$B14)+10^-12)))</f>
        <v>0</v>
      </c>
      <c r="AK14" s="229">
        <f ca="1">IF(ACOMPANHAMENTO&lt;&gt;"BM",0,SUMPRODUCT(OFFSET(BM!$M$15,$A14,0,$B14)*(OFFSET(BM!$A$15,$A14,0,$B14)="S")*OFFSET(ORÇAMENTO!AB$15,$A14,0,$B14)/(OFFSET(ORÇAMENTO!$X$15,$A14,0,$B14)+10^-12)))</f>
        <v>0</v>
      </c>
      <c r="AL14" s="229">
        <f ca="1">IF(ACOMPANHAMENTO&lt;&gt;"BM",0,OFFSET(BM!$M$15,$A14,0))</f>
        <v>0</v>
      </c>
      <c r="AM14" s="229">
        <f ca="1">IF(ACOMPANHAMENTO&lt;&gt;"BM",0,SUMPRODUCT(OFFSET(BM!$O$15,$A14,0,$B14)*(OFFSET(BM!$A$15,$A14,0,$B14)="S")*OFFSET(ORÇAMENTO!AA$15,$A14,0,$B14)/(OFFSET(ORÇAMENTO!$X$15,$A14,0,$B14)+10^-12)))</f>
        <v>0</v>
      </c>
      <c r="AN14" s="229">
        <f ca="1">IF(ACOMPANHAMENTO&lt;&gt;"BM",0,SUMPRODUCT(OFFSET(BM!$O$15,$A14,0,$B14)*(OFFSET(BM!$A$15,$A14,0,$B14)="S")*OFFSET(ORÇAMENTO!AB$15,$A14,0,$B14)/(OFFSET(ORÇAMENTO!$X$15,$A14,0,$B14)+10^-12)))</f>
        <v>0</v>
      </c>
      <c r="AO14" s="229">
        <f ca="1">IF(ACOMPANHAMENTO&lt;&gt;"BM",0,OFFSET(BM!$O$15,$A14,0))</f>
        <v>0</v>
      </c>
    </row>
    <row r="15" spans="1:41">
      <c r="A15" t="e">
        <f ca="1">MATCH(E15,ORÇAMENTO!$E$15:$E$43,0)-1</f>
        <v>#N/A</v>
      </c>
      <c r="B15" t="e">
        <f ca="1">IF(ISERROR($A15),NA(),OFFSET(ORÇAMENTO!$D$15,$A15,0))</f>
        <v>#N/A</v>
      </c>
      <c r="C15" t="str">
        <f ca="1">QCI!B15</f>
        <v>Branco</v>
      </c>
      <c r="D15" t="str">
        <f t="shared" ca="1" si="0"/>
        <v/>
      </c>
      <c r="E15" s="455">
        <f>QCI!D15</f>
        <v>2</v>
      </c>
      <c r="F15" s="456" t="str">
        <f ca="1">QCI!G15</f>
        <v/>
      </c>
      <c r="G15" s="457">
        <f>QCI!H15</f>
        <v>0</v>
      </c>
      <c r="H15" s="458">
        <f>QCI!I15</f>
        <v>0</v>
      </c>
      <c r="I15" s="459" t="str">
        <f ca="1">QCI!J15</f>
        <v/>
      </c>
      <c r="J15" s="460" t="str">
        <f ca="1">QCI!K15</f>
        <v/>
      </c>
      <c r="K15" s="461" t="str">
        <f ca="1">IF($C15="Automático",IF(ACOMPANHAMENTO="BM",BM.medicao,PLE.Medicao),IF(ISBLANK($X15),"",$X15))</f>
        <v/>
      </c>
      <c r="L15" s="462">
        <f ca="1">QCI!$O15</f>
        <v>0</v>
      </c>
      <c r="M15" s="464">
        <f t="shared" ca="1" si="1"/>
        <v>0</v>
      </c>
      <c r="N15" s="465">
        <f t="shared" ca="1" si="2"/>
        <v>0</v>
      </c>
      <c r="O15" s="466">
        <f t="shared" ca="1" si="3"/>
        <v>0</v>
      </c>
      <c r="P15" s="467">
        <f t="shared" ca="1" si="4"/>
        <v>0</v>
      </c>
      <c r="R15" s="463">
        <f ca="1">ROUND(IF($C15="Automático",AC15+AJ15,$Y15*IF(ISERROR(QCI!$AA15/QCI!$O15),0,QCI!$AA15/QCI!$O15)),2)</f>
        <v>0</v>
      </c>
      <c r="S15" s="463">
        <f ca="1">ROUND(IF($C15="Automático",AD15+AK15,$Y15*IF(ISERROR(QCI!$AB15/QCI!$O15),0,QCI!$AB15/QCI!$O15)),2)</f>
        <v>0</v>
      </c>
      <c r="T15" s="463">
        <f ca="1">ROUND(IF($C15="Automático",AF15+AM15,$Z15*IF(ISERROR(QCI!$AA15/QCI!$O15),0,QCI!$AA15/QCI!$O15)),2)</f>
        <v>0</v>
      </c>
      <c r="U15" s="463">
        <f ca="1">ROUND(IF($C15="Automático",AG15+AN15,$Z15*IF(ISERROR(QCI!$AB15/QCI!$O15),0,QCI!$AB15/QCI!$O15)),2)</f>
        <v>0</v>
      </c>
      <c r="V15" s="621">
        <f ca="1">IF(AND($L15&gt;0,$J15&lt;&gt;0,$J15&lt;&gt;"",COUNTIF($J$13:$J15,$J15)=1),OFFSET(V15,-1,0)+1,OFFSET(V15,-1,0))</f>
        <v>1</v>
      </c>
      <c r="X15" s="368"/>
      <c r="Y15" s="369"/>
      <c r="Z15" s="371"/>
      <c r="AC15" s="229">
        <f ca="1">IF(ACOMPANHAMENTO&lt;&gt;"PLE",0,SUMPRODUCT((OFFSET(CÁLCULO!$AX$15:$BH$15,$A15,0,$B15)&lt;=(PLE.Medicao-1))*OFFSET(CÁLCULO!$AB$15:$AL$15,$A15,0,$B15)*OFFSET(ORÇAMENTO!$AA$15,$A15,0,$B15)/(OFFSET(ORÇAMENTO!$X$15,$A15,0,$B15)+10^-12))+IF(AUTOEVENTO="Manual",SUMPRODUCT((OFFSET(CÁLCULO!$M$15,$A15,0,$B15)=1)*OFFSET(ORÇAMENTO!$AA$15,$A15,0,$B15)*(PLE!$AE$9-PLE!$Y$9)),0))</f>
        <v>0</v>
      </c>
      <c r="AD15" s="229">
        <f ca="1">IF(ACOMPANHAMENTO&lt;&gt;"PLE",0,SUMPRODUCT((OFFSET(CÁLCULO!$AX$15:$BH$15,$A15,0,$B15)&lt;=(PLE.Medicao-1))*OFFSET(CÁLCULO!$AB$15:$AL$15,$A15,0,$B15)*OFFSET(ORÇAMENTO!$AB$15,$A15,0,$B15)/(OFFSET(ORÇAMENTO!$X$15,$A15,0,$B15)+10^-12))+IF(AUTOEVENTO="Manual",SUMPRODUCT((OFFSET(CÁLCULO!$M$15,$A15,0,$B15)=1)*OFFSET(ORÇAMENTO!$AB$15,$A15,0,$B15)*(PLE!$AE$9-PLE!$Y$9)),0))</f>
        <v>0</v>
      </c>
      <c r="AE15" s="229">
        <f ca="1">ROUND(IF(ACOMPANHAMENTO&lt;&gt;"PLE",0,SUMIF(OFFSET(CÁLCULO!$AX$15:$BH$15,$A15,0,$B15),"&lt;="&amp;(PLE.Medicao-1),OFFSET(CÁLCULO!$AB$15:$AL$15,$A15,0,$B15))+IF(AUTOEVENTO="Manual",SUMIF(OFFSET(CÁLCULO!$M$15,$A15,0,$B15),1,OFFSET(ORÇAMENTO!$X$15,$A15,0,$B15))*(PLE!$AE$9-PLE!$Y$9),0)),2)</f>
        <v>0</v>
      </c>
      <c r="AF15" s="229">
        <f ca="1">IF(ACOMPANHAMENTO&lt;&gt;"PLE",0,SUMPRODUCT((OFFSET(CÁLCULO!$AX$15:$BH$15,$A15,0,$B15)&lt;=PLE.Medicao)*OFFSET(CÁLCULO!$AB$15:$AL$15,$A15,0,$B15)*OFFSET(ORÇAMENTO!$AA$15,$A15,0,$B15)/(OFFSET(ORÇAMENTO!$X$15,$A15,0,$B15)+10^-12))+IF(AUTOEVENTO="Manual",SUMPRODUCT((OFFSET(CÁLCULO!$M$15,$A15,0,$B15)=1)*OFFSET(ORÇAMENTO!$AA$15,$A15,0,$B15)*PLE!$AE$9),0))</f>
        <v>0</v>
      </c>
      <c r="AG15" s="229">
        <f ca="1">IF(ACOMPANHAMENTO&lt;&gt;"PLE",0,SUMPRODUCT((OFFSET(CÁLCULO!$AX$15:$BH$15,$A15,0,$B15)&lt;=PLE.Medicao)*OFFSET(CÁLCULO!$AB$15:$AL$15,$A15,0,$B15)*OFFSET(ORÇAMENTO!$AB$15,$A15,0,$B15)/(OFFSET(ORÇAMENTO!$X$15,$A15,0,$B15)+10^-12))+IF(AUTOEVENTO="Manual",SUMPRODUCT((OFFSET(CÁLCULO!$M$15,$A15,0,$B15)=1)*OFFSET(ORÇAMENTO!$AB$15,$A15,0,$B15)*PLE!$AE$9),0))</f>
        <v>0</v>
      </c>
      <c r="AH15" s="229">
        <f ca="1">ROUND(IF(ACOMPANHAMENTO&lt;&gt;"PLE",0,SUMIF(OFFSET(CÁLCULO!$AX$15:$BH$15,$A15,0,$B15),"&lt;="&amp;PLE.Medicao,OFFSET(CÁLCULO!$AB$15:$AL$15,$A15,0,$B15))+IF(AUTOEVENTO="Manual",SUMIF(OFFSET(CÁLCULO!$M$15,$A15,0,$B15),1,OFFSET(ORÇAMENTO!$X$15,$A15,0,$B15))*PLE!$AE$9,0)),2)</f>
        <v>0</v>
      </c>
      <c r="AJ15" s="229" t="e">
        <f ca="1">IF(ACOMPANHAMENTO&lt;&gt;"BM",0,SUMPRODUCT(OFFSET(BM!$M$15,$A15,0,$B15)*(OFFSET(BM!$A$15,$A15,0,$B15)="S")*OFFSET(ORÇAMENTO!AA$15,$A15,0,$B15)/(OFFSET(ORÇAMENTO!$X$15,$A15,0,$B15)+10^-12)))</f>
        <v>#N/A</v>
      </c>
      <c r="AK15" s="229" t="e">
        <f ca="1">IF(ACOMPANHAMENTO&lt;&gt;"BM",0,SUMPRODUCT(OFFSET(BM!$M$15,$A15,0,$B15)*(OFFSET(BM!$A$15,$A15,0,$B15)="S")*OFFSET(ORÇAMENTO!AB$15,$A15,0,$B15)/(OFFSET(ORÇAMENTO!$X$15,$A15,0,$B15)+10^-12)))</f>
        <v>#N/A</v>
      </c>
      <c r="AL15" s="229" t="e">
        <f ca="1">IF(ACOMPANHAMENTO&lt;&gt;"BM",0,OFFSET(BM!$M$15,$A15,0))</f>
        <v>#N/A</v>
      </c>
      <c r="AM15" s="229" t="e">
        <f ca="1">IF(ACOMPANHAMENTO&lt;&gt;"BM",0,SUMPRODUCT(OFFSET(BM!$O$15,$A15,0,$B15)*(OFFSET(BM!$A$15,$A15,0,$B15)="S")*OFFSET(ORÇAMENTO!AA$15,$A15,0,$B15)/(OFFSET(ORÇAMENTO!$X$15,$A15,0,$B15)+10^-12)))</f>
        <v>#N/A</v>
      </c>
      <c r="AN15" s="229" t="e">
        <f ca="1">IF(ACOMPANHAMENTO&lt;&gt;"BM",0,SUMPRODUCT(OFFSET(BM!$O$15,$A15,0,$B15)*(OFFSET(BM!$A$15,$A15,0,$B15)="S")*OFFSET(ORÇAMENTO!AB$15,$A15,0,$B15)/(OFFSET(ORÇAMENTO!$X$15,$A15,0,$B15)+10^-12)))</f>
        <v>#N/A</v>
      </c>
      <c r="AO15" s="229" t="e">
        <f ca="1">IF(ACOMPANHAMENTO&lt;&gt;"BM",0,OFFSET(BM!$O$15,$A15,0))</f>
        <v>#N/A</v>
      </c>
    </row>
    <row r="16" spans="1:41">
      <c r="A16" t="e">
        <f ca="1">MATCH(E16,ORÇAMENTO!$E$15:$E$43,0)-1</f>
        <v>#N/A</v>
      </c>
      <c r="B16" t="e">
        <f ca="1">IF(ISERROR($A16),NA(),OFFSET(ORÇAMENTO!$D$15,$A16,0))</f>
        <v>#N/A</v>
      </c>
      <c r="C16" t="str">
        <f ca="1">QCI!B16</f>
        <v>Branco</v>
      </c>
      <c r="D16" t="str">
        <f t="shared" ca="1" si="0"/>
        <v/>
      </c>
      <c r="E16" s="455">
        <f>QCI!D16</f>
        <v>3</v>
      </c>
      <c r="F16" s="456" t="str">
        <f ca="1">QCI!G16</f>
        <v/>
      </c>
      <c r="G16" s="457">
        <f>QCI!H16</f>
        <v>0</v>
      </c>
      <c r="H16" s="458">
        <f>QCI!I16</f>
        <v>0</v>
      </c>
      <c r="I16" s="459" t="str">
        <f ca="1">QCI!J16</f>
        <v/>
      </c>
      <c r="J16" s="460" t="str">
        <f ca="1">QCI!K16</f>
        <v/>
      </c>
      <c r="K16" s="461" t="str">
        <f ca="1">IF($C16="Automático",IF(ACOMPANHAMENTO="BM",BM.medicao,PLE.Medicao),IF(ISBLANK($X16),"",$X16))</f>
        <v/>
      </c>
      <c r="L16" s="462">
        <f ca="1">QCI!$O16</f>
        <v>0</v>
      </c>
      <c r="M16" s="464">
        <f t="shared" ca="1" si="1"/>
        <v>0</v>
      </c>
      <c r="N16" s="465">
        <f t="shared" ca="1" si="2"/>
        <v>0</v>
      </c>
      <c r="O16" s="466">
        <f t="shared" ca="1" si="3"/>
        <v>0</v>
      </c>
      <c r="P16" s="467">
        <f t="shared" ca="1" si="4"/>
        <v>0</v>
      </c>
      <c r="R16" s="463">
        <f ca="1">ROUND(IF($C16="Automático",AC16+AJ16,$Y16*IF(ISERROR(QCI!$AA16/QCI!$O16),0,QCI!$AA16/QCI!$O16)),2)</f>
        <v>0</v>
      </c>
      <c r="S16" s="463">
        <f ca="1">ROUND(IF($C16="Automático",AD16+AK16,$Y16*IF(ISERROR(QCI!$AB16/QCI!$O16),0,QCI!$AB16/QCI!$O16)),2)</f>
        <v>0</v>
      </c>
      <c r="T16" s="463">
        <f ca="1">ROUND(IF($C16="Automático",AF16+AM16,$Z16*IF(ISERROR(QCI!$AA16/QCI!$O16),0,QCI!$AA16/QCI!$O16)),2)</f>
        <v>0</v>
      </c>
      <c r="U16" s="463">
        <f ca="1">ROUND(IF($C16="Automático",AG16+AN16,$Z16*IF(ISERROR(QCI!$AB16/QCI!$O16),0,QCI!$AB16/QCI!$O16)),2)</f>
        <v>0</v>
      </c>
      <c r="V16" s="621">
        <f ca="1">IF(AND($L16&gt;0,$J16&lt;&gt;0,$J16&lt;&gt;"",COUNTIF($J$13:$J16,$J16)=1),OFFSET(V16,-1,0)+1,OFFSET(V16,-1,0))</f>
        <v>1</v>
      </c>
      <c r="X16" s="368"/>
      <c r="Y16" s="369"/>
      <c r="Z16" s="371"/>
      <c r="AC16" s="229">
        <f ca="1">IF(ACOMPANHAMENTO&lt;&gt;"PLE",0,SUMPRODUCT((OFFSET(CÁLCULO!$AX$15:$BH$15,$A16,0,$B16)&lt;=(PLE.Medicao-1))*OFFSET(CÁLCULO!$AB$15:$AL$15,$A16,0,$B16)*OFFSET(ORÇAMENTO!$AA$15,$A16,0,$B16)/(OFFSET(ORÇAMENTO!$X$15,$A16,0,$B16)+10^-12))+IF(AUTOEVENTO="Manual",SUMPRODUCT((OFFSET(CÁLCULO!$M$15,$A16,0,$B16)=1)*OFFSET(ORÇAMENTO!$AA$15,$A16,0,$B16)*(PLE!$AE$9-PLE!$Y$9)),0))</f>
        <v>0</v>
      </c>
      <c r="AD16" s="229">
        <f ca="1">IF(ACOMPANHAMENTO&lt;&gt;"PLE",0,SUMPRODUCT((OFFSET(CÁLCULO!$AX$15:$BH$15,$A16,0,$B16)&lt;=(PLE.Medicao-1))*OFFSET(CÁLCULO!$AB$15:$AL$15,$A16,0,$B16)*OFFSET(ORÇAMENTO!$AB$15,$A16,0,$B16)/(OFFSET(ORÇAMENTO!$X$15,$A16,0,$B16)+10^-12))+IF(AUTOEVENTO="Manual",SUMPRODUCT((OFFSET(CÁLCULO!$M$15,$A16,0,$B16)=1)*OFFSET(ORÇAMENTO!$AB$15,$A16,0,$B16)*(PLE!$AE$9-PLE!$Y$9)),0))</f>
        <v>0</v>
      </c>
      <c r="AE16" s="229">
        <f ca="1">ROUND(IF(ACOMPANHAMENTO&lt;&gt;"PLE",0,SUMIF(OFFSET(CÁLCULO!$AX$15:$BH$15,$A16,0,$B16),"&lt;="&amp;(PLE.Medicao-1),OFFSET(CÁLCULO!$AB$15:$AL$15,$A16,0,$B16))+IF(AUTOEVENTO="Manual",SUMIF(OFFSET(CÁLCULO!$M$15,$A16,0,$B16),1,OFFSET(ORÇAMENTO!$X$15,$A16,0,$B16))*(PLE!$AE$9-PLE!$Y$9),0)),2)</f>
        <v>0</v>
      </c>
      <c r="AF16" s="229">
        <f ca="1">IF(ACOMPANHAMENTO&lt;&gt;"PLE",0,SUMPRODUCT((OFFSET(CÁLCULO!$AX$15:$BH$15,$A16,0,$B16)&lt;=PLE.Medicao)*OFFSET(CÁLCULO!$AB$15:$AL$15,$A16,0,$B16)*OFFSET(ORÇAMENTO!$AA$15,$A16,0,$B16)/(OFFSET(ORÇAMENTO!$X$15,$A16,0,$B16)+10^-12))+IF(AUTOEVENTO="Manual",SUMPRODUCT((OFFSET(CÁLCULO!$M$15,$A16,0,$B16)=1)*OFFSET(ORÇAMENTO!$AA$15,$A16,0,$B16)*PLE!$AE$9),0))</f>
        <v>0</v>
      </c>
      <c r="AG16" s="229">
        <f ca="1">IF(ACOMPANHAMENTO&lt;&gt;"PLE",0,SUMPRODUCT((OFFSET(CÁLCULO!$AX$15:$BH$15,$A16,0,$B16)&lt;=PLE.Medicao)*OFFSET(CÁLCULO!$AB$15:$AL$15,$A16,0,$B16)*OFFSET(ORÇAMENTO!$AB$15,$A16,0,$B16)/(OFFSET(ORÇAMENTO!$X$15,$A16,0,$B16)+10^-12))+IF(AUTOEVENTO="Manual",SUMPRODUCT((OFFSET(CÁLCULO!$M$15,$A16,0,$B16)=1)*OFFSET(ORÇAMENTO!$AB$15,$A16,0,$B16)*PLE!$AE$9),0))</f>
        <v>0</v>
      </c>
      <c r="AH16" s="229">
        <f ca="1">ROUND(IF(ACOMPANHAMENTO&lt;&gt;"PLE",0,SUMIF(OFFSET(CÁLCULO!$AX$15:$BH$15,$A16,0,$B16),"&lt;="&amp;PLE.Medicao,OFFSET(CÁLCULO!$AB$15:$AL$15,$A16,0,$B16))+IF(AUTOEVENTO="Manual",SUMIF(OFFSET(CÁLCULO!$M$15,$A16,0,$B16),1,OFFSET(ORÇAMENTO!$X$15,$A16,0,$B16))*PLE!$AE$9,0)),2)</f>
        <v>0</v>
      </c>
      <c r="AJ16" s="229" t="e">
        <f ca="1">IF(ACOMPANHAMENTO&lt;&gt;"BM",0,SUMPRODUCT(OFFSET(BM!$M$15,$A16,0,$B16)*(OFFSET(BM!$A$15,$A16,0,$B16)="S")*OFFSET(ORÇAMENTO!AA$15,$A16,0,$B16)/(OFFSET(ORÇAMENTO!$X$15,$A16,0,$B16)+10^-12)))</f>
        <v>#N/A</v>
      </c>
      <c r="AK16" s="229" t="e">
        <f ca="1">IF(ACOMPANHAMENTO&lt;&gt;"BM",0,SUMPRODUCT(OFFSET(BM!$M$15,$A16,0,$B16)*(OFFSET(BM!$A$15,$A16,0,$B16)="S")*OFFSET(ORÇAMENTO!AB$15,$A16,0,$B16)/(OFFSET(ORÇAMENTO!$X$15,$A16,0,$B16)+10^-12)))</f>
        <v>#N/A</v>
      </c>
      <c r="AL16" s="229" t="e">
        <f ca="1">IF(ACOMPANHAMENTO&lt;&gt;"BM",0,OFFSET(BM!$M$15,$A16,0))</f>
        <v>#N/A</v>
      </c>
      <c r="AM16" s="229" t="e">
        <f ca="1">IF(ACOMPANHAMENTO&lt;&gt;"BM",0,SUMPRODUCT(OFFSET(BM!$O$15,$A16,0,$B16)*(OFFSET(BM!$A$15,$A16,0,$B16)="S")*OFFSET(ORÇAMENTO!AA$15,$A16,0,$B16)/(OFFSET(ORÇAMENTO!$X$15,$A16,0,$B16)+10^-12)))</f>
        <v>#N/A</v>
      </c>
      <c r="AN16" s="229" t="e">
        <f ca="1">IF(ACOMPANHAMENTO&lt;&gt;"BM",0,SUMPRODUCT(OFFSET(BM!$O$15,$A16,0,$B16)*(OFFSET(BM!$A$15,$A16,0,$B16)="S")*OFFSET(ORÇAMENTO!AB$15,$A16,0,$B16)/(OFFSET(ORÇAMENTO!$X$15,$A16,0,$B16)+10^-12)))</f>
        <v>#N/A</v>
      </c>
      <c r="AO16" s="229" t="e">
        <f ca="1">IF(ACOMPANHAMENTO&lt;&gt;"BM",0,OFFSET(BM!$O$15,$A16,0))</f>
        <v>#N/A</v>
      </c>
    </row>
    <row r="17" spans="1:41">
      <c r="A17" t="e">
        <f ca="1">MATCH(E17,ORÇAMENTO!$E$15:$E$43,0)-1</f>
        <v>#N/A</v>
      </c>
      <c r="B17" t="e">
        <f ca="1">IF(ISERROR($A17),NA(),OFFSET(ORÇAMENTO!$D$15,$A17,0))</f>
        <v>#N/A</v>
      </c>
      <c r="C17" t="str">
        <f ca="1">QCI!B17</f>
        <v>Branco</v>
      </c>
      <c r="D17" t="str">
        <f t="shared" ca="1" si="0"/>
        <v/>
      </c>
      <c r="E17" s="455">
        <f>QCI!D17</f>
        <v>4</v>
      </c>
      <c r="F17" s="456" t="str">
        <f ca="1">QCI!G17</f>
        <v/>
      </c>
      <c r="G17" s="457">
        <f>QCI!H17</f>
        <v>0</v>
      </c>
      <c r="H17" s="458">
        <f>QCI!I17</f>
        <v>0</v>
      </c>
      <c r="I17" s="459" t="str">
        <f ca="1">QCI!J17</f>
        <v/>
      </c>
      <c r="J17" s="460" t="str">
        <f ca="1">QCI!K17</f>
        <v/>
      </c>
      <c r="K17" s="461" t="str">
        <f ca="1">IF($C17="Automático",IF(ACOMPANHAMENTO="BM",BM.medicao,PLE.Medicao),IF(ISBLANK($X17),"",$X17))</f>
        <v/>
      </c>
      <c r="L17" s="462">
        <f ca="1">QCI!$O17</f>
        <v>0</v>
      </c>
      <c r="M17" s="464">
        <f t="shared" ca="1" si="1"/>
        <v>0</v>
      </c>
      <c r="N17" s="465">
        <f t="shared" ca="1" si="2"/>
        <v>0</v>
      </c>
      <c r="O17" s="466">
        <f t="shared" ca="1" si="3"/>
        <v>0</v>
      </c>
      <c r="P17" s="467">
        <f t="shared" ca="1" si="4"/>
        <v>0</v>
      </c>
      <c r="R17" s="463">
        <f ca="1">ROUND(IF($C17="Automático",AC17+AJ17,$Y17*IF(ISERROR(QCI!$AA17/QCI!$O17),0,QCI!$AA17/QCI!$O17)),2)</f>
        <v>0</v>
      </c>
      <c r="S17" s="463">
        <f ca="1">ROUND(IF($C17="Automático",AD17+AK17,$Y17*IF(ISERROR(QCI!$AB17/QCI!$O17),0,QCI!$AB17/QCI!$O17)),2)</f>
        <v>0</v>
      </c>
      <c r="T17" s="463">
        <f ca="1">ROUND(IF($C17="Automático",AF17+AM17,$Z17*IF(ISERROR(QCI!$AA17/QCI!$O17),0,QCI!$AA17/QCI!$O17)),2)</f>
        <v>0</v>
      </c>
      <c r="U17" s="463">
        <f ca="1">ROUND(IF($C17="Automático",AG17+AN17,$Z17*IF(ISERROR(QCI!$AB17/QCI!$O17),0,QCI!$AB17/QCI!$O17)),2)</f>
        <v>0</v>
      </c>
      <c r="V17" s="621">
        <f ca="1">IF(AND($L17&gt;0,$J17&lt;&gt;0,$J17&lt;&gt;"",COUNTIF($J$13:$J17,$J17)=1),OFFSET(V17,-1,0)+1,OFFSET(V17,-1,0))</f>
        <v>1</v>
      </c>
      <c r="X17" s="368"/>
      <c r="Y17" s="369"/>
      <c r="Z17" s="371"/>
      <c r="AC17" s="229">
        <f ca="1">IF(ACOMPANHAMENTO&lt;&gt;"PLE",0,SUMPRODUCT((OFFSET(CÁLCULO!$AX$15:$BH$15,$A17,0,$B17)&lt;=(PLE.Medicao-1))*OFFSET(CÁLCULO!$AB$15:$AL$15,$A17,0,$B17)*OFFSET(ORÇAMENTO!$AA$15,$A17,0,$B17)/(OFFSET(ORÇAMENTO!$X$15,$A17,0,$B17)+10^-12))+IF(AUTOEVENTO="Manual",SUMPRODUCT((OFFSET(CÁLCULO!$M$15,$A17,0,$B17)=1)*OFFSET(ORÇAMENTO!$AA$15,$A17,0,$B17)*(PLE!$AE$9-PLE!$Y$9)),0))</f>
        <v>0</v>
      </c>
      <c r="AD17" s="229">
        <f ca="1">IF(ACOMPANHAMENTO&lt;&gt;"PLE",0,SUMPRODUCT((OFFSET(CÁLCULO!$AX$15:$BH$15,$A17,0,$B17)&lt;=(PLE.Medicao-1))*OFFSET(CÁLCULO!$AB$15:$AL$15,$A17,0,$B17)*OFFSET(ORÇAMENTO!$AB$15,$A17,0,$B17)/(OFFSET(ORÇAMENTO!$X$15,$A17,0,$B17)+10^-12))+IF(AUTOEVENTO="Manual",SUMPRODUCT((OFFSET(CÁLCULO!$M$15,$A17,0,$B17)=1)*OFFSET(ORÇAMENTO!$AB$15,$A17,0,$B17)*(PLE!$AE$9-PLE!$Y$9)),0))</f>
        <v>0</v>
      </c>
      <c r="AE17" s="229">
        <f ca="1">ROUND(IF(ACOMPANHAMENTO&lt;&gt;"PLE",0,SUMIF(OFFSET(CÁLCULO!$AX$15:$BH$15,$A17,0,$B17),"&lt;="&amp;(PLE.Medicao-1),OFFSET(CÁLCULO!$AB$15:$AL$15,$A17,0,$B17))+IF(AUTOEVENTO="Manual",SUMIF(OFFSET(CÁLCULO!$M$15,$A17,0,$B17),1,OFFSET(ORÇAMENTO!$X$15,$A17,0,$B17))*(PLE!$AE$9-PLE!$Y$9),0)),2)</f>
        <v>0</v>
      </c>
      <c r="AF17" s="229">
        <f ca="1">IF(ACOMPANHAMENTO&lt;&gt;"PLE",0,SUMPRODUCT((OFFSET(CÁLCULO!$AX$15:$BH$15,$A17,0,$B17)&lt;=PLE.Medicao)*OFFSET(CÁLCULO!$AB$15:$AL$15,$A17,0,$B17)*OFFSET(ORÇAMENTO!$AA$15,$A17,0,$B17)/(OFFSET(ORÇAMENTO!$X$15,$A17,0,$B17)+10^-12))+IF(AUTOEVENTO="Manual",SUMPRODUCT((OFFSET(CÁLCULO!$M$15,$A17,0,$B17)=1)*OFFSET(ORÇAMENTO!$AA$15,$A17,0,$B17)*PLE!$AE$9),0))</f>
        <v>0</v>
      </c>
      <c r="AG17" s="229">
        <f ca="1">IF(ACOMPANHAMENTO&lt;&gt;"PLE",0,SUMPRODUCT((OFFSET(CÁLCULO!$AX$15:$BH$15,$A17,0,$B17)&lt;=PLE.Medicao)*OFFSET(CÁLCULO!$AB$15:$AL$15,$A17,0,$B17)*OFFSET(ORÇAMENTO!$AB$15,$A17,0,$B17)/(OFFSET(ORÇAMENTO!$X$15,$A17,0,$B17)+10^-12))+IF(AUTOEVENTO="Manual",SUMPRODUCT((OFFSET(CÁLCULO!$M$15,$A17,0,$B17)=1)*OFFSET(ORÇAMENTO!$AB$15,$A17,0,$B17)*PLE!$AE$9),0))</f>
        <v>0</v>
      </c>
      <c r="AH17" s="229">
        <f ca="1">ROUND(IF(ACOMPANHAMENTO&lt;&gt;"PLE",0,SUMIF(OFFSET(CÁLCULO!$AX$15:$BH$15,$A17,0,$B17),"&lt;="&amp;PLE.Medicao,OFFSET(CÁLCULO!$AB$15:$AL$15,$A17,0,$B17))+IF(AUTOEVENTO="Manual",SUMIF(OFFSET(CÁLCULO!$M$15,$A17,0,$B17),1,OFFSET(ORÇAMENTO!$X$15,$A17,0,$B17))*PLE!$AE$9,0)),2)</f>
        <v>0</v>
      </c>
      <c r="AJ17" s="229" t="e">
        <f ca="1">IF(ACOMPANHAMENTO&lt;&gt;"BM",0,SUMPRODUCT(OFFSET(BM!$M$15,$A17,0,$B17)*(OFFSET(BM!$A$15,$A17,0,$B17)="S")*OFFSET(ORÇAMENTO!AA$15,$A17,0,$B17)/(OFFSET(ORÇAMENTO!$X$15,$A17,0,$B17)+10^-12)))</f>
        <v>#N/A</v>
      </c>
      <c r="AK17" s="229" t="e">
        <f ca="1">IF(ACOMPANHAMENTO&lt;&gt;"BM",0,SUMPRODUCT(OFFSET(BM!$M$15,$A17,0,$B17)*(OFFSET(BM!$A$15,$A17,0,$B17)="S")*OFFSET(ORÇAMENTO!AB$15,$A17,0,$B17)/(OFFSET(ORÇAMENTO!$X$15,$A17,0,$B17)+10^-12)))</f>
        <v>#N/A</v>
      </c>
      <c r="AL17" s="229" t="e">
        <f ca="1">IF(ACOMPANHAMENTO&lt;&gt;"BM",0,OFFSET(BM!$M$15,$A17,0))</f>
        <v>#N/A</v>
      </c>
      <c r="AM17" s="229" t="e">
        <f ca="1">IF(ACOMPANHAMENTO&lt;&gt;"BM",0,SUMPRODUCT(OFFSET(BM!$O$15,$A17,0,$B17)*(OFFSET(BM!$A$15,$A17,0,$B17)="S")*OFFSET(ORÇAMENTO!AA$15,$A17,0,$B17)/(OFFSET(ORÇAMENTO!$X$15,$A17,0,$B17)+10^-12)))</f>
        <v>#N/A</v>
      </c>
      <c r="AN17" s="229" t="e">
        <f ca="1">IF(ACOMPANHAMENTO&lt;&gt;"BM",0,SUMPRODUCT(OFFSET(BM!$O$15,$A17,0,$B17)*(OFFSET(BM!$A$15,$A17,0,$B17)="S")*OFFSET(ORÇAMENTO!AB$15,$A17,0,$B17)/(OFFSET(ORÇAMENTO!$X$15,$A17,0,$B17)+10^-12)))</f>
        <v>#N/A</v>
      </c>
      <c r="AO17" s="229" t="e">
        <f ca="1">IF(ACOMPANHAMENTO&lt;&gt;"BM",0,OFFSET(BM!$O$15,$A17,0))</f>
        <v>#N/A</v>
      </c>
    </row>
    <row r="18" spans="1:41">
      <c r="A18" t="e">
        <f ca="1">MATCH(E18,ORÇAMENTO!$E$15:$E$43,0)-1</f>
        <v>#N/A</v>
      </c>
      <c r="B18" t="e">
        <f ca="1">IF(ISERROR($A18),NA(),OFFSET(ORÇAMENTO!$D$15,$A18,0))</f>
        <v>#N/A</v>
      </c>
      <c r="C18" t="str">
        <f ca="1">QCI!B18</f>
        <v>Branco</v>
      </c>
      <c r="D18" t="str">
        <f t="shared" ca="1" si="0"/>
        <v/>
      </c>
      <c r="E18" s="455">
        <f>QCI!D18</f>
        <v>5</v>
      </c>
      <c r="F18" s="456" t="str">
        <f ca="1">QCI!G18</f>
        <v/>
      </c>
      <c r="G18" s="457">
        <f>QCI!H18</f>
        <v>0</v>
      </c>
      <c r="H18" s="458">
        <f>QCI!I18</f>
        <v>0</v>
      </c>
      <c r="I18" s="459" t="str">
        <f ca="1">QCI!J18</f>
        <v/>
      </c>
      <c r="J18" s="460" t="str">
        <f ca="1">QCI!K18</f>
        <v/>
      </c>
      <c r="K18" s="461" t="str">
        <f ca="1">IF($C18="Automático",IF(ACOMPANHAMENTO="BM",BM.medicao,PLE.Medicao),IF(ISBLANK($X18),"",$X18))</f>
        <v/>
      </c>
      <c r="L18" s="462">
        <f ca="1">QCI!$O18</f>
        <v>0</v>
      </c>
      <c r="M18" s="464">
        <f t="shared" ca="1" si="1"/>
        <v>0</v>
      </c>
      <c r="N18" s="465">
        <f t="shared" ca="1" si="2"/>
        <v>0</v>
      </c>
      <c r="O18" s="466">
        <f t="shared" ca="1" si="3"/>
        <v>0</v>
      </c>
      <c r="P18" s="467">
        <f t="shared" ca="1" si="4"/>
        <v>0</v>
      </c>
      <c r="R18" s="463">
        <f ca="1">ROUND(IF($C18="Automático",AC18+AJ18,$Y18*IF(ISERROR(QCI!$AA18/QCI!$O18),0,QCI!$AA18/QCI!$O18)),2)</f>
        <v>0</v>
      </c>
      <c r="S18" s="463">
        <f ca="1">ROUND(IF($C18="Automático",AD18+AK18,$Y18*IF(ISERROR(QCI!$AB18/QCI!$O18),0,QCI!$AB18/QCI!$O18)),2)</f>
        <v>0</v>
      </c>
      <c r="T18" s="463">
        <f ca="1">ROUND(IF($C18="Automático",AF18+AM18,$Z18*IF(ISERROR(QCI!$AA18/QCI!$O18),0,QCI!$AA18/QCI!$O18)),2)</f>
        <v>0</v>
      </c>
      <c r="U18" s="463">
        <f ca="1">ROUND(IF($C18="Automático",AG18+AN18,$Z18*IF(ISERROR(QCI!$AB18/QCI!$O18),0,QCI!$AB18/QCI!$O18)),2)</f>
        <v>0</v>
      </c>
      <c r="V18" s="621">
        <f ca="1">IF(AND($L18&gt;0,$J18&lt;&gt;0,$J18&lt;&gt;"",COUNTIF($J$13:$J18,$J18)=1),OFFSET(V18,-1,0)+1,OFFSET(V18,-1,0))</f>
        <v>1</v>
      </c>
      <c r="X18" s="368"/>
      <c r="Y18" s="369"/>
      <c r="Z18" s="371"/>
      <c r="AC18" s="229">
        <f ca="1">IF(ACOMPANHAMENTO&lt;&gt;"PLE",0,SUMPRODUCT((OFFSET(CÁLCULO!$AX$15:$BH$15,$A18,0,$B18)&lt;=(PLE.Medicao-1))*OFFSET(CÁLCULO!$AB$15:$AL$15,$A18,0,$B18)*OFFSET(ORÇAMENTO!$AA$15,$A18,0,$B18)/(OFFSET(ORÇAMENTO!$X$15,$A18,0,$B18)+10^-12))+IF(AUTOEVENTO="Manual",SUMPRODUCT((OFFSET(CÁLCULO!$M$15,$A18,0,$B18)=1)*OFFSET(ORÇAMENTO!$AA$15,$A18,0,$B18)*(PLE!$AE$9-PLE!$Y$9)),0))</f>
        <v>0</v>
      </c>
      <c r="AD18" s="229">
        <f ca="1">IF(ACOMPANHAMENTO&lt;&gt;"PLE",0,SUMPRODUCT((OFFSET(CÁLCULO!$AX$15:$BH$15,$A18,0,$B18)&lt;=(PLE.Medicao-1))*OFFSET(CÁLCULO!$AB$15:$AL$15,$A18,0,$B18)*OFFSET(ORÇAMENTO!$AB$15,$A18,0,$B18)/(OFFSET(ORÇAMENTO!$X$15,$A18,0,$B18)+10^-12))+IF(AUTOEVENTO="Manual",SUMPRODUCT((OFFSET(CÁLCULO!$M$15,$A18,0,$B18)=1)*OFFSET(ORÇAMENTO!$AB$15,$A18,0,$B18)*(PLE!$AE$9-PLE!$Y$9)),0))</f>
        <v>0</v>
      </c>
      <c r="AE18" s="229">
        <f ca="1">ROUND(IF(ACOMPANHAMENTO&lt;&gt;"PLE",0,SUMIF(OFFSET(CÁLCULO!$AX$15:$BH$15,$A18,0,$B18),"&lt;="&amp;(PLE.Medicao-1),OFFSET(CÁLCULO!$AB$15:$AL$15,$A18,0,$B18))+IF(AUTOEVENTO="Manual",SUMIF(OFFSET(CÁLCULO!$M$15,$A18,0,$B18),1,OFFSET(ORÇAMENTO!$X$15,$A18,0,$B18))*(PLE!$AE$9-PLE!$Y$9),0)),2)</f>
        <v>0</v>
      </c>
      <c r="AF18" s="229">
        <f ca="1">IF(ACOMPANHAMENTO&lt;&gt;"PLE",0,SUMPRODUCT((OFFSET(CÁLCULO!$AX$15:$BH$15,$A18,0,$B18)&lt;=PLE.Medicao)*OFFSET(CÁLCULO!$AB$15:$AL$15,$A18,0,$B18)*OFFSET(ORÇAMENTO!$AA$15,$A18,0,$B18)/(OFFSET(ORÇAMENTO!$X$15,$A18,0,$B18)+10^-12))+IF(AUTOEVENTO="Manual",SUMPRODUCT((OFFSET(CÁLCULO!$M$15,$A18,0,$B18)=1)*OFFSET(ORÇAMENTO!$AA$15,$A18,0,$B18)*PLE!$AE$9),0))</f>
        <v>0</v>
      </c>
      <c r="AG18" s="229">
        <f ca="1">IF(ACOMPANHAMENTO&lt;&gt;"PLE",0,SUMPRODUCT((OFFSET(CÁLCULO!$AX$15:$BH$15,$A18,0,$B18)&lt;=PLE.Medicao)*OFFSET(CÁLCULO!$AB$15:$AL$15,$A18,0,$B18)*OFFSET(ORÇAMENTO!$AB$15,$A18,0,$B18)/(OFFSET(ORÇAMENTO!$X$15,$A18,0,$B18)+10^-12))+IF(AUTOEVENTO="Manual",SUMPRODUCT((OFFSET(CÁLCULO!$M$15,$A18,0,$B18)=1)*OFFSET(ORÇAMENTO!$AB$15,$A18,0,$B18)*PLE!$AE$9),0))</f>
        <v>0</v>
      </c>
      <c r="AH18" s="229">
        <f ca="1">ROUND(IF(ACOMPANHAMENTO&lt;&gt;"PLE",0,SUMIF(OFFSET(CÁLCULO!$AX$15:$BH$15,$A18,0,$B18),"&lt;="&amp;PLE.Medicao,OFFSET(CÁLCULO!$AB$15:$AL$15,$A18,0,$B18))+IF(AUTOEVENTO="Manual",SUMIF(OFFSET(CÁLCULO!$M$15,$A18,0,$B18),1,OFFSET(ORÇAMENTO!$X$15,$A18,0,$B18))*PLE!$AE$9,0)),2)</f>
        <v>0</v>
      </c>
      <c r="AJ18" s="229" t="e">
        <f ca="1">IF(ACOMPANHAMENTO&lt;&gt;"BM",0,SUMPRODUCT(OFFSET(BM!$M$15,$A18,0,$B18)*(OFFSET(BM!$A$15,$A18,0,$B18)="S")*OFFSET(ORÇAMENTO!AA$15,$A18,0,$B18)/(OFFSET(ORÇAMENTO!$X$15,$A18,0,$B18)+10^-12)))</f>
        <v>#N/A</v>
      </c>
      <c r="AK18" s="229" t="e">
        <f ca="1">IF(ACOMPANHAMENTO&lt;&gt;"BM",0,SUMPRODUCT(OFFSET(BM!$M$15,$A18,0,$B18)*(OFFSET(BM!$A$15,$A18,0,$B18)="S")*OFFSET(ORÇAMENTO!AB$15,$A18,0,$B18)/(OFFSET(ORÇAMENTO!$X$15,$A18,0,$B18)+10^-12)))</f>
        <v>#N/A</v>
      </c>
      <c r="AL18" s="229" t="e">
        <f ca="1">IF(ACOMPANHAMENTO&lt;&gt;"BM",0,OFFSET(BM!$M$15,$A18,0))</f>
        <v>#N/A</v>
      </c>
      <c r="AM18" s="229" t="e">
        <f ca="1">IF(ACOMPANHAMENTO&lt;&gt;"BM",0,SUMPRODUCT(OFFSET(BM!$O$15,$A18,0,$B18)*(OFFSET(BM!$A$15,$A18,0,$B18)="S")*OFFSET(ORÇAMENTO!AA$15,$A18,0,$B18)/(OFFSET(ORÇAMENTO!$X$15,$A18,0,$B18)+10^-12)))</f>
        <v>#N/A</v>
      </c>
      <c r="AN18" s="229" t="e">
        <f ca="1">IF(ACOMPANHAMENTO&lt;&gt;"BM",0,SUMPRODUCT(OFFSET(BM!$O$15,$A18,0,$B18)*(OFFSET(BM!$A$15,$A18,0,$B18)="S")*OFFSET(ORÇAMENTO!AB$15,$A18,0,$B18)/(OFFSET(ORÇAMENTO!$X$15,$A18,0,$B18)+10^-12)))</f>
        <v>#N/A</v>
      </c>
      <c r="AO18" s="229" t="e">
        <f ca="1">IF(ACOMPANHAMENTO&lt;&gt;"BM",0,OFFSET(BM!$O$15,$A18,0))</f>
        <v>#N/A</v>
      </c>
    </row>
    <row r="19" spans="1:41">
      <c r="A19" t="e">
        <f ca="1">MATCH(E19,ORÇAMENTO!$E$15:$E$43,0)-1</f>
        <v>#N/A</v>
      </c>
      <c r="B19" t="e">
        <f ca="1">IF(ISERROR($A19),NA(),OFFSET(ORÇAMENTO!$D$15,$A19,0))</f>
        <v>#N/A</v>
      </c>
      <c r="C19" t="str">
        <f ca="1">QCI!B19</f>
        <v>Branco</v>
      </c>
      <c r="D19" t="str">
        <f t="shared" ca="1" si="0"/>
        <v/>
      </c>
      <c r="E19" s="455">
        <f>QCI!D19</f>
        <v>6</v>
      </c>
      <c r="F19" s="456" t="str">
        <f ca="1">QCI!G19</f>
        <v/>
      </c>
      <c r="G19" s="457">
        <f>QCI!H19</f>
        <v>0</v>
      </c>
      <c r="H19" s="458">
        <f>QCI!I19</f>
        <v>0</v>
      </c>
      <c r="I19" s="459" t="str">
        <f ca="1">QCI!J19</f>
        <v/>
      </c>
      <c r="J19" s="460" t="str">
        <f ca="1">QCI!K19</f>
        <v/>
      </c>
      <c r="K19" s="461" t="str">
        <f ca="1">IF($C19="Automático",IF(ACOMPANHAMENTO="BM",BM.medicao,PLE.Medicao),IF(ISBLANK($X19),"",$X19))</f>
        <v/>
      </c>
      <c r="L19" s="462">
        <f ca="1">QCI!$O19</f>
        <v>0</v>
      </c>
      <c r="M19" s="464">
        <f t="shared" ca="1" si="1"/>
        <v>0</v>
      </c>
      <c r="N19" s="465">
        <f t="shared" ca="1" si="2"/>
        <v>0</v>
      </c>
      <c r="O19" s="466">
        <f t="shared" ca="1" si="3"/>
        <v>0</v>
      </c>
      <c r="P19" s="467">
        <f t="shared" ca="1" si="4"/>
        <v>0</v>
      </c>
      <c r="R19" s="463">
        <f ca="1">ROUND(IF($C19="Automático",AC19+AJ19,$Y19*IF(ISERROR(QCI!$AA19/QCI!$O19),0,QCI!$AA19/QCI!$O19)),2)</f>
        <v>0</v>
      </c>
      <c r="S19" s="463">
        <f ca="1">ROUND(IF($C19="Automático",AD19+AK19,$Y19*IF(ISERROR(QCI!$AB19/QCI!$O19),0,QCI!$AB19/QCI!$O19)),2)</f>
        <v>0</v>
      </c>
      <c r="T19" s="463">
        <f ca="1">ROUND(IF($C19="Automático",AF19+AM19,$Z19*IF(ISERROR(QCI!$AA19/QCI!$O19),0,QCI!$AA19/QCI!$O19)),2)</f>
        <v>0</v>
      </c>
      <c r="U19" s="463">
        <f ca="1">ROUND(IF($C19="Automático",AG19+AN19,$Z19*IF(ISERROR(QCI!$AB19/QCI!$O19),0,QCI!$AB19/QCI!$O19)),2)</f>
        <v>0</v>
      </c>
      <c r="V19" s="621">
        <f ca="1">IF(AND($L19&gt;0,$J19&lt;&gt;0,$J19&lt;&gt;"",COUNTIF($J$13:$J19,$J19)=1),OFFSET(V19,-1,0)+1,OFFSET(V19,-1,0))</f>
        <v>1</v>
      </c>
      <c r="X19" s="368"/>
      <c r="Y19" s="369"/>
      <c r="Z19" s="371"/>
      <c r="AC19" s="229">
        <f ca="1">IF(ACOMPANHAMENTO&lt;&gt;"PLE",0,SUMPRODUCT((OFFSET(CÁLCULO!$AX$15:$BH$15,$A19,0,$B19)&lt;=(PLE.Medicao-1))*OFFSET(CÁLCULO!$AB$15:$AL$15,$A19,0,$B19)*OFFSET(ORÇAMENTO!$AA$15,$A19,0,$B19)/(OFFSET(ORÇAMENTO!$X$15,$A19,0,$B19)+10^-12))+IF(AUTOEVENTO="Manual",SUMPRODUCT((OFFSET(CÁLCULO!$M$15,$A19,0,$B19)=1)*OFFSET(ORÇAMENTO!$AA$15,$A19,0,$B19)*(PLE!$AE$9-PLE!$Y$9)),0))</f>
        <v>0</v>
      </c>
      <c r="AD19" s="229">
        <f ca="1">IF(ACOMPANHAMENTO&lt;&gt;"PLE",0,SUMPRODUCT((OFFSET(CÁLCULO!$AX$15:$BH$15,$A19,0,$B19)&lt;=(PLE.Medicao-1))*OFFSET(CÁLCULO!$AB$15:$AL$15,$A19,0,$B19)*OFFSET(ORÇAMENTO!$AB$15,$A19,0,$B19)/(OFFSET(ORÇAMENTO!$X$15,$A19,0,$B19)+10^-12))+IF(AUTOEVENTO="Manual",SUMPRODUCT((OFFSET(CÁLCULO!$M$15,$A19,0,$B19)=1)*OFFSET(ORÇAMENTO!$AB$15,$A19,0,$B19)*(PLE!$AE$9-PLE!$Y$9)),0))</f>
        <v>0</v>
      </c>
      <c r="AE19" s="229">
        <f ca="1">ROUND(IF(ACOMPANHAMENTO&lt;&gt;"PLE",0,SUMIF(OFFSET(CÁLCULO!$AX$15:$BH$15,$A19,0,$B19),"&lt;="&amp;(PLE.Medicao-1),OFFSET(CÁLCULO!$AB$15:$AL$15,$A19,0,$B19))+IF(AUTOEVENTO="Manual",SUMIF(OFFSET(CÁLCULO!$M$15,$A19,0,$B19),1,OFFSET(ORÇAMENTO!$X$15,$A19,0,$B19))*(PLE!$AE$9-PLE!$Y$9),0)),2)</f>
        <v>0</v>
      </c>
      <c r="AF19" s="229">
        <f ca="1">IF(ACOMPANHAMENTO&lt;&gt;"PLE",0,SUMPRODUCT((OFFSET(CÁLCULO!$AX$15:$BH$15,$A19,0,$B19)&lt;=PLE.Medicao)*OFFSET(CÁLCULO!$AB$15:$AL$15,$A19,0,$B19)*OFFSET(ORÇAMENTO!$AA$15,$A19,0,$B19)/(OFFSET(ORÇAMENTO!$X$15,$A19,0,$B19)+10^-12))+IF(AUTOEVENTO="Manual",SUMPRODUCT((OFFSET(CÁLCULO!$M$15,$A19,0,$B19)=1)*OFFSET(ORÇAMENTO!$AA$15,$A19,0,$B19)*PLE!$AE$9),0))</f>
        <v>0</v>
      </c>
      <c r="AG19" s="229">
        <f ca="1">IF(ACOMPANHAMENTO&lt;&gt;"PLE",0,SUMPRODUCT((OFFSET(CÁLCULO!$AX$15:$BH$15,$A19,0,$B19)&lt;=PLE.Medicao)*OFFSET(CÁLCULO!$AB$15:$AL$15,$A19,0,$B19)*OFFSET(ORÇAMENTO!$AB$15,$A19,0,$B19)/(OFFSET(ORÇAMENTO!$X$15,$A19,0,$B19)+10^-12))+IF(AUTOEVENTO="Manual",SUMPRODUCT((OFFSET(CÁLCULO!$M$15,$A19,0,$B19)=1)*OFFSET(ORÇAMENTO!$AB$15,$A19,0,$B19)*PLE!$AE$9),0))</f>
        <v>0</v>
      </c>
      <c r="AH19" s="229">
        <f ca="1">ROUND(IF(ACOMPANHAMENTO&lt;&gt;"PLE",0,SUMIF(OFFSET(CÁLCULO!$AX$15:$BH$15,$A19,0,$B19),"&lt;="&amp;PLE.Medicao,OFFSET(CÁLCULO!$AB$15:$AL$15,$A19,0,$B19))+IF(AUTOEVENTO="Manual",SUMIF(OFFSET(CÁLCULO!$M$15,$A19,0,$B19),1,OFFSET(ORÇAMENTO!$X$15,$A19,0,$B19))*PLE!$AE$9,0)),2)</f>
        <v>0</v>
      </c>
      <c r="AJ19" s="229" t="e">
        <f ca="1">IF(ACOMPANHAMENTO&lt;&gt;"BM",0,SUMPRODUCT(OFFSET(BM!$M$15,$A19,0,$B19)*(OFFSET(BM!$A$15,$A19,0,$B19)="S")*OFFSET(ORÇAMENTO!AA$15,$A19,0,$B19)/(OFFSET(ORÇAMENTO!$X$15,$A19,0,$B19)+10^-12)))</f>
        <v>#N/A</v>
      </c>
      <c r="AK19" s="229" t="e">
        <f ca="1">IF(ACOMPANHAMENTO&lt;&gt;"BM",0,SUMPRODUCT(OFFSET(BM!$M$15,$A19,0,$B19)*(OFFSET(BM!$A$15,$A19,0,$B19)="S")*OFFSET(ORÇAMENTO!AB$15,$A19,0,$B19)/(OFFSET(ORÇAMENTO!$X$15,$A19,0,$B19)+10^-12)))</f>
        <v>#N/A</v>
      </c>
      <c r="AL19" s="229" t="e">
        <f ca="1">IF(ACOMPANHAMENTO&lt;&gt;"BM",0,OFFSET(BM!$M$15,$A19,0))</f>
        <v>#N/A</v>
      </c>
      <c r="AM19" s="229" t="e">
        <f ca="1">IF(ACOMPANHAMENTO&lt;&gt;"BM",0,SUMPRODUCT(OFFSET(BM!$O$15,$A19,0,$B19)*(OFFSET(BM!$A$15,$A19,0,$B19)="S")*OFFSET(ORÇAMENTO!AA$15,$A19,0,$B19)/(OFFSET(ORÇAMENTO!$X$15,$A19,0,$B19)+10^-12)))</f>
        <v>#N/A</v>
      </c>
      <c r="AN19" s="229" t="e">
        <f ca="1">IF(ACOMPANHAMENTO&lt;&gt;"BM",0,SUMPRODUCT(OFFSET(BM!$O$15,$A19,0,$B19)*(OFFSET(BM!$A$15,$A19,0,$B19)="S")*OFFSET(ORÇAMENTO!AB$15,$A19,0,$B19)/(OFFSET(ORÇAMENTO!$X$15,$A19,0,$B19)+10^-12)))</f>
        <v>#N/A</v>
      </c>
      <c r="AO19" s="229" t="e">
        <f ca="1">IF(ACOMPANHAMENTO&lt;&gt;"BM",0,OFFSET(BM!$O$15,$A19,0))</f>
        <v>#N/A</v>
      </c>
    </row>
    <row r="20" spans="1:41">
      <c r="A20" t="e">
        <f ca="1">MATCH(E20,ORÇAMENTO!$E$15:$E$43,0)-1</f>
        <v>#N/A</v>
      </c>
      <c r="B20" t="e">
        <f ca="1">IF(ISERROR($A20),NA(),OFFSET(ORÇAMENTO!$D$15,$A20,0))</f>
        <v>#N/A</v>
      </c>
      <c r="C20" t="str">
        <f ca="1">QCI!B20</f>
        <v>Branco</v>
      </c>
      <c r="D20" t="str">
        <f t="shared" ca="1" si="0"/>
        <v/>
      </c>
      <c r="E20" s="455">
        <f>QCI!D20</f>
        <v>7</v>
      </c>
      <c r="F20" s="456" t="str">
        <f ca="1">QCI!G20</f>
        <v/>
      </c>
      <c r="G20" s="457">
        <f>QCI!H20</f>
        <v>0</v>
      </c>
      <c r="H20" s="458">
        <f>QCI!I20</f>
        <v>0</v>
      </c>
      <c r="I20" s="459" t="str">
        <f ca="1">QCI!J20</f>
        <v/>
      </c>
      <c r="J20" s="460" t="str">
        <f ca="1">QCI!K20</f>
        <v/>
      </c>
      <c r="K20" s="461" t="str">
        <f ca="1">IF($C20="Automático",IF(ACOMPANHAMENTO="BM",BM.medicao,PLE.Medicao),IF(ISBLANK($X20),"",$X20))</f>
        <v/>
      </c>
      <c r="L20" s="462">
        <f ca="1">QCI!$O20</f>
        <v>0</v>
      </c>
      <c r="M20" s="464">
        <f t="shared" ca="1" si="1"/>
        <v>0</v>
      </c>
      <c r="N20" s="465">
        <f t="shared" ca="1" si="2"/>
        <v>0</v>
      </c>
      <c r="O20" s="466">
        <f t="shared" ca="1" si="3"/>
        <v>0</v>
      </c>
      <c r="P20" s="467">
        <f t="shared" ca="1" si="4"/>
        <v>0</v>
      </c>
      <c r="R20" s="463">
        <f ca="1">ROUND(IF($C20="Automático",AC20+AJ20,$Y20*IF(ISERROR(QCI!$AA20/QCI!$O20),0,QCI!$AA20/QCI!$O20)),2)</f>
        <v>0</v>
      </c>
      <c r="S20" s="463">
        <f ca="1">ROUND(IF($C20="Automático",AD20+AK20,$Y20*IF(ISERROR(QCI!$AB20/QCI!$O20),0,QCI!$AB20/QCI!$O20)),2)</f>
        <v>0</v>
      </c>
      <c r="T20" s="463">
        <f ca="1">ROUND(IF($C20="Automático",AF20+AM20,$Z20*IF(ISERROR(QCI!$AA20/QCI!$O20),0,QCI!$AA20/QCI!$O20)),2)</f>
        <v>0</v>
      </c>
      <c r="U20" s="463">
        <f ca="1">ROUND(IF($C20="Automático",AG20+AN20,$Z20*IF(ISERROR(QCI!$AB20/QCI!$O20),0,QCI!$AB20/QCI!$O20)),2)</f>
        <v>0</v>
      </c>
      <c r="V20" s="621">
        <f ca="1">IF(AND($L20&gt;0,$J20&lt;&gt;0,$J20&lt;&gt;"",COUNTIF($J$13:$J20,$J20)=1),OFFSET(V20,-1,0)+1,OFFSET(V20,-1,0))</f>
        <v>1</v>
      </c>
      <c r="X20" s="368"/>
      <c r="Y20" s="369"/>
      <c r="Z20" s="371"/>
      <c r="AC20" s="229">
        <f ca="1">IF(ACOMPANHAMENTO&lt;&gt;"PLE",0,SUMPRODUCT((OFFSET(CÁLCULO!$AX$15:$BH$15,$A20,0,$B20)&lt;=(PLE.Medicao-1))*OFFSET(CÁLCULO!$AB$15:$AL$15,$A20,0,$B20)*OFFSET(ORÇAMENTO!$AA$15,$A20,0,$B20)/(OFFSET(ORÇAMENTO!$X$15,$A20,0,$B20)+10^-12))+IF(AUTOEVENTO="Manual",SUMPRODUCT((OFFSET(CÁLCULO!$M$15,$A20,0,$B20)=1)*OFFSET(ORÇAMENTO!$AA$15,$A20,0,$B20)*(PLE!$AE$9-PLE!$Y$9)),0))</f>
        <v>0</v>
      </c>
      <c r="AD20" s="229">
        <f ca="1">IF(ACOMPANHAMENTO&lt;&gt;"PLE",0,SUMPRODUCT((OFFSET(CÁLCULO!$AX$15:$BH$15,$A20,0,$B20)&lt;=(PLE.Medicao-1))*OFFSET(CÁLCULO!$AB$15:$AL$15,$A20,0,$B20)*OFFSET(ORÇAMENTO!$AB$15,$A20,0,$B20)/(OFFSET(ORÇAMENTO!$X$15,$A20,0,$B20)+10^-12))+IF(AUTOEVENTO="Manual",SUMPRODUCT((OFFSET(CÁLCULO!$M$15,$A20,0,$B20)=1)*OFFSET(ORÇAMENTO!$AB$15,$A20,0,$B20)*(PLE!$AE$9-PLE!$Y$9)),0))</f>
        <v>0</v>
      </c>
      <c r="AE20" s="229">
        <f ca="1">ROUND(IF(ACOMPANHAMENTO&lt;&gt;"PLE",0,SUMIF(OFFSET(CÁLCULO!$AX$15:$BH$15,$A20,0,$B20),"&lt;="&amp;(PLE.Medicao-1),OFFSET(CÁLCULO!$AB$15:$AL$15,$A20,0,$B20))+IF(AUTOEVENTO="Manual",SUMIF(OFFSET(CÁLCULO!$M$15,$A20,0,$B20),1,OFFSET(ORÇAMENTO!$X$15,$A20,0,$B20))*(PLE!$AE$9-PLE!$Y$9),0)),2)</f>
        <v>0</v>
      </c>
      <c r="AF20" s="229">
        <f ca="1">IF(ACOMPANHAMENTO&lt;&gt;"PLE",0,SUMPRODUCT((OFFSET(CÁLCULO!$AX$15:$BH$15,$A20,0,$B20)&lt;=PLE.Medicao)*OFFSET(CÁLCULO!$AB$15:$AL$15,$A20,0,$B20)*OFFSET(ORÇAMENTO!$AA$15,$A20,0,$B20)/(OFFSET(ORÇAMENTO!$X$15,$A20,0,$B20)+10^-12))+IF(AUTOEVENTO="Manual",SUMPRODUCT((OFFSET(CÁLCULO!$M$15,$A20,0,$B20)=1)*OFFSET(ORÇAMENTO!$AA$15,$A20,0,$B20)*PLE!$AE$9),0))</f>
        <v>0</v>
      </c>
      <c r="AG20" s="229">
        <f ca="1">IF(ACOMPANHAMENTO&lt;&gt;"PLE",0,SUMPRODUCT((OFFSET(CÁLCULO!$AX$15:$BH$15,$A20,0,$B20)&lt;=PLE.Medicao)*OFFSET(CÁLCULO!$AB$15:$AL$15,$A20,0,$B20)*OFFSET(ORÇAMENTO!$AB$15,$A20,0,$B20)/(OFFSET(ORÇAMENTO!$X$15,$A20,0,$B20)+10^-12))+IF(AUTOEVENTO="Manual",SUMPRODUCT((OFFSET(CÁLCULO!$M$15,$A20,0,$B20)=1)*OFFSET(ORÇAMENTO!$AB$15,$A20,0,$B20)*PLE!$AE$9),0))</f>
        <v>0</v>
      </c>
      <c r="AH20" s="229">
        <f ca="1">ROUND(IF(ACOMPANHAMENTO&lt;&gt;"PLE",0,SUMIF(OFFSET(CÁLCULO!$AX$15:$BH$15,$A20,0,$B20),"&lt;="&amp;PLE.Medicao,OFFSET(CÁLCULO!$AB$15:$AL$15,$A20,0,$B20))+IF(AUTOEVENTO="Manual",SUMIF(OFFSET(CÁLCULO!$M$15,$A20,0,$B20),1,OFFSET(ORÇAMENTO!$X$15,$A20,0,$B20))*PLE!$AE$9,0)),2)</f>
        <v>0</v>
      </c>
      <c r="AJ20" s="229" t="e">
        <f ca="1">IF(ACOMPANHAMENTO&lt;&gt;"BM",0,SUMPRODUCT(OFFSET(BM!$M$15,$A20,0,$B20)*(OFFSET(BM!$A$15,$A20,0,$B20)="S")*OFFSET(ORÇAMENTO!AA$15,$A20,0,$B20)/(OFFSET(ORÇAMENTO!$X$15,$A20,0,$B20)+10^-12)))</f>
        <v>#N/A</v>
      </c>
      <c r="AK20" s="229" t="e">
        <f ca="1">IF(ACOMPANHAMENTO&lt;&gt;"BM",0,SUMPRODUCT(OFFSET(BM!$M$15,$A20,0,$B20)*(OFFSET(BM!$A$15,$A20,0,$B20)="S")*OFFSET(ORÇAMENTO!AB$15,$A20,0,$B20)/(OFFSET(ORÇAMENTO!$X$15,$A20,0,$B20)+10^-12)))</f>
        <v>#N/A</v>
      </c>
      <c r="AL20" s="229" t="e">
        <f ca="1">IF(ACOMPANHAMENTO&lt;&gt;"BM",0,OFFSET(BM!$M$15,$A20,0))</f>
        <v>#N/A</v>
      </c>
      <c r="AM20" s="229" t="e">
        <f ca="1">IF(ACOMPANHAMENTO&lt;&gt;"BM",0,SUMPRODUCT(OFFSET(BM!$O$15,$A20,0,$B20)*(OFFSET(BM!$A$15,$A20,0,$B20)="S")*OFFSET(ORÇAMENTO!AA$15,$A20,0,$B20)/(OFFSET(ORÇAMENTO!$X$15,$A20,0,$B20)+10^-12)))</f>
        <v>#N/A</v>
      </c>
      <c r="AN20" s="229" t="e">
        <f ca="1">IF(ACOMPANHAMENTO&lt;&gt;"BM",0,SUMPRODUCT(OFFSET(BM!$O$15,$A20,0,$B20)*(OFFSET(BM!$A$15,$A20,0,$B20)="S")*OFFSET(ORÇAMENTO!AB$15,$A20,0,$B20)/(OFFSET(ORÇAMENTO!$X$15,$A20,0,$B20)+10^-12)))</f>
        <v>#N/A</v>
      </c>
      <c r="AO20" s="229" t="e">
        <f ca="1">IF(ACOMPANHAMENTO&lt;&gt;"BM",0,OFFSET(BM!$O$15,$A20,0))</f>
        <v>#N/A</v>
      </c>
    </row>
    <row r="21" spans="1:41">
      <c r="A21" t="e">
        <f ca="1">MATCH(E21,ORÇAMENTO!$E$15:$E$43,0)-1</f>
        <v>#N/A</v>
      </c>
      <c r="B21" t="e">
        <f ca="1">IF(ISERROR($A21),NA(),OFFSET(ORÇAMENTO!$D$15,$A21,0))</f>
        <v>#N/A</v>
      </c>
      <c r="C21" t="str">
        <f ca="1">QCI!B21</f>
        <v>Branco</v>
      </c>
      <c r="D21" t="str">
        <f t="shared" ca="1" si="0"/>
        <v/>
      </c>
      <c r="E21" s="455">
        <f>QCI!D21</f>
        <v>8</v>
      </c>
      <c r="F21" s="456" t="str">
        <f ca="1">QCI!G21</f>
        <v/>
      </c>
      <c r="G21" s="457">
        <f>QCI!H21</f>
        <v>0</v>
      </c>
      <c r="H21" s="458">
        <f>QCI!I21</f>
        <v>0</v>
      </c>
      <c r="I21" s="459" t="str">
        <f ca="1">QCI!J21</f>
        <v/>
      </c>
      <c r="J21" s="460" t="str">
        <f ca="1">QCI!K21</f>
        <v/>
      </c>
      <c r="K21" s="461" t="str">
        <f ca="1">IF($C21="Automático",IF(ACOMPANHAMENTO="BM",BM.medicao,PLE.Medicao),IF(ISBLANK($X21),"",$X21))</f>
        <v/>
      </c>
      <c r="L21" s="462">
        <f ca="1">QCI!$O21</f>
        <v>0</v>
      </c>
      <c r="M21" s="464">
        <f t="shared" ca="1" si="1"/>
        <v>0</v>
      </c>
      <c r="N21" s="465">
        <f t="shared" ca="1" si="2"/>
        <v>0</v>
      </c>
      <c r="O21" s="466">
        <f t="shared" ca="1" si="3"/>
        <v>0</v>
      </c>
      <c r="P21" s="467">
        <f t="shared" ca="1" si="4"/>
        <v>0</v>
      </c>
      <c r="R21" s="463">
        <f ca="1">ROUND(IF($C21="Automático",AC21+AJ21,$Y21*IF(ISERROR(QCI!$AA21/QCI!$O21),0,QCI!$AA21/QCI!$O21)),2)</f>
        <v>0</v>
      </c>
      <c r="S21" s="463">
        <f ca="1">ROUND(IF($C21="Automático",AD21+AK21,$Y21*IF(ISERROR(QCI!$AB21/QCI!$O21),0,QCI!$AB21/QCI!$O21)),2)</f>
        <v>0</v>
      </c>
      <c r="T21" s="463">
        <f ca="1">ROUND(IF($C21="Automático",AF21+AM21,$Z21*IF(ISERROR(QCI!$AA21/QCI!$O21),0,QCI!$AA21/QCI!$O21)),2)</f>
        <v>0</v>
      </c>
      <c r="U21" s="463">
        <f ca="1">ROUND(IF($C21="Automático",AG21+AN21,$Z21*IF(ISERROR(QCI!$AB21/QCI!$O21),0,QCI!$AB21/QCI!$O21)),2)</f>
        <v>0</v>
      </c>
      <c r="V21" s="621">
        <f ca="1">IF(AND($L21&gt;0,$J21&lt;&gt;0,$J21&lt;&gt;"",COUNTIF($J$13:$J21,$J21)=1),OFFSET(V21,-1,0)+1,OFFSET(V21,-1,0))</f>
        <v>1</v>
      </c>
      <c r="X21" s="368"/>
      <c r="Y21" s="369"/>
      <c r="Z21" s="371"/>
      <c r="AC21" s="229">
        <f ca="1">IF(ACOMPANHAMENTO&lt;&gt;"PLE",0,SUMPRODUCT((OFFSET(CÁLCULO!$AX$15:$BH$15,$A21,0,$B21)&lt;=(PLE.Medicao-1))*OFFSET(CÁLCULO!$AB$15:$AL$15,$A21,0,$B21)*OFFSET(ORÇAMENTO!$AA$15,$A21,0,$B21)/(OFFSET(ORÇAMENTO!$X$15,$A21,0,$B21)+10^-12))+IF(AUTOEVENTO="Manual",SUMPRODUCT((OFFSET(CÁLCULO!$M$15,$A21,0,$B21)=1)*OFFSET(ORÇAMENTO!$AA$15,$A21,0,$B21)*(PLE!$AE$9-PLE!$Y$9)),0))</f>
        <v>0</v>
      </c>
      <c r="AD21" s="229">
        <f ca="1">IF(ACOMPANHAMENTO&lt;&gt;"PLE",0,SUMPRODUCT((OFFSET(CÁLCULO!$AX$15:$BH$15,$A21,0,$B21)&lt;=(PLE.Medicao-1))*OFFSET(CÁLCULO!$AB$15:$AL$15,$A21,0,$B21)*OFFSET(ORÇAMENTO!$AB$15,$A21,0,$B21)/(OFFSET(ORÇAMENTO!$X$15,$A21,0,$B21)+10^-12))+IF(AUTOEVENTO="Manual",SUMPRODUCT((OFFSET(CÁLCULO!$M$15,$A21,0,$B21)=1)*OFFSET(ORÇAMENTO!$AB$15,$A21,0,$B21)*(PLE!$AE$9-PLE!$Y$9)),0))</f>
        <v>0</v>
      </c>
      <c r="AE21" s="229">
        <f ca="1">ROUND(IF(ACOMPANHAMENTO&lt;&gt;"PLE",0,SUMIF(OFFSET(CÁLCULO!$AX$15:$BH$15,$A21,0,$B21),"&lt;="&amp;(PLE.Medicao-1),OFFSET(CÁLCULO!$AB$15:$AL$15,$A21,0,$B21))+IF(AUTOEVENTO="Manual",SUMIF(OFFSET(CÁLCULO!$M$15,$A21,0,$B21),1,OFFSET(ORÇAMENTO!$X$15,$A21,0,$B21))*(PLE!$AE$9-PLE!$Y$9),0)),2)</f>
        <v>0</v>
      </c>
      <c r="AF21" s="229">
        <f ca="1">IF(ACOMPANHAMENTO&lt;&gt;"PLE",0,SUMPRODUCT((OFFSET(CÁLCULO!$AX$15:$BH$15,$A21,0,$B21)&lt;=PLE.Medicao)*OFFSET(CÁLCULO!$AB$15:$AL$15,$A21,0,$B21)*OFFSET(ORÇAMENTO!$AA$15,$A21,0,$B21)/(OFFSET(ORÇAMENTO!$X$15,$A21,0,$B21)+10^-12))+IF(AUTOEVENTO="Manual",SUMPRODUCT((OFFSET(CÁLCULO!$M$15,$A21,0,$B21)=1)*OFFSET(ORÇAMENTO!$AA$15,$A21,0,$B21)*PLE!$AE$9),0))</f>
        <v>0</v>
      </c>
      <c r="AG21" s="229">
        <f ca="1">IF(ACOMPANHAMENTO&lt;&gt;"PLE",0,SUMPRODUCT((OFFSET(CÁLCULO!$AX$15:$BH$15,$A21,0,$B21)&lt;=PLE.Medicao)*OFFSET(CÁLCULO!$AB$15:$AL$15,$A21,0,$B21)*OFFSET(ORÇAMENTO!$AB$15,$A21,0,$B21)/(OFFSET(ORÇAMENTO!$X$15,$A21,0,$B21)+10^-12))+IF(AUTOEVENTO="Manual",SUMPRODUCT((OFFSET(CÁLCULO!$M$15,$A21,0,$B21)=1)*OFFSET(ORÇAMENTO!$AB$15,$A21,0,$B21)*PLE!$AE$9),0))</f>
        <v>0</v>
      </c>
      <c r="AH21" s="229">
        <f ca="1">ROUND(IF(ACOMPANHAMENTO&lt;&gt;"PLE",0,SUMIF(OFFSET(CÁLCULO!$AX$15:$BH$15,$A21,0,$B21),"&lt;="&amp;PLE.Medicao,OFFSET(CÁLCULO!$AB$15:$AL$15,$A21,0,$B21))+IF(AUTOEVENTO="Manual",SUMIF(OFFSET(CÁLCULO!$M$15,$A21,0,$B21),1,OFFSET(ORÇAMENTO!$X$15,$A21,0,$B21))*PLE!$AE$9,0)),2)</f>
        <v>0</v>
      </c>
      <c r="AJ21" s="229" t="e">
        <f ca="1">IF(ACOMPANHAMENTO&lt;&gt;"BM",0,SUMPRODUCT(OFFSET(BM!$M$15,$A21,0,$B21)*(OFFSET(BM!$A$15,$A21,0,$B21)="S")*OFFSET(ORÇAMENTO!AA$15,$A21,0,$B21)/(OFFSET(ORÇAMENTO!$X$15,$A21,0,$B21)+10^-12)))</f>
        <v>#N/A</v>
      </c>
      <c r="AK21" s="229" t="e">
        <f ca="1">IF(ACOMPANHAMENTO&lt;&gt;"BM",0,SUMPRODUCT(OFFSET(BM!$M$15,$A21,0,$B21)*(OFFSET(BM!$A$15,$A21,0,$B21)="S")*OFFSET(ORÇAMENTO!AB$15,$A21,0,$B21)/(OFFSET(ORÇAMENTO!$X$15,$A21,0,$B21)+10^-12)))</f>
        <v>#N/A</v>
      </c>
      <c r="AL21" s="229" t="e">
        <f ca="1">IF(ACOMPANHAMENTO&lt;&gt;"BM",0,OFFSET(BM!$M$15,$A21,0))</f>
        <v>#N/A</v>
      </c>
      <c r="AM21" s="229" t="e">
        <f ca="1">IF(ACOMPANHAMENTO&lt;&gt;"BM",0,SUMPRODUCT(OFFSET(BM!$O$15,$A21,0,$B21)*(OFFSET(BM!$A$15,$A21,0,$B21)="S")*OFFSET(ORÇAMENTO!AA$15,$A21,0,$B21)/(OFFSET(ORÇAMENTO!$X$15,$A21,0,$B21)+10^-12)))</f>
        <v>#N/A</v>
      </c>
      <c r="AN21" s="229" t="e">
        <f ca="1">IF(ACOMPANHAMENTO&lt;&gt;"BM",0,SUMPRODUCT(OFFSET(BM!$O$15,$A21,0,$B21)*(OFFSET(BM!$A$15,$A21,0,$B21)="S")*OFFSET(ORÇAMENTO!AB$15,$A21,0,$B21)/(OFFSET(ORÇAMENTO!$X$15,$A21,0,$B21)+10^-12)))</f>
        <v>#N/A</v>
      </c>
      <c r="AO21" s="229" t="e">
        <f ca="1">IF(ACOMPANHAMENTO&lt;&gt;"BM",0,OFFSET(BM!$O$15,$A21,0))</f>
        <v>#N/A</v>
      </c>
    </row>
    <row r="22" spans="1:41">
      <c r="A22" t="e">
        <f ca="1">MATCH(E22,ORÇAMENTO!$E$15:$E$43,0)-1</f>
        <v>#N/A</v>
      </c>
      <c r="B22" t="e">
        <f ca="1">IF(ISERROR($A22),NA(),OFFSET(ORÇAMENTO!$D$15,$A22,0))</f>
        <v>#N/A</v>
      </c>
      <c r="C22" t="str">
        <f ca="1">QCI!B22</f>
        <v>Branco</v>
      </c>
      <c r="D22" t="str">
        <f t="shared" ca="1" si="0"/>
        <v/>
      </c>
      <c r="E22" s="455">
        <f>QCI!D22</f>
        <v>9</v>
      </c>
      <c r="F22" s="456" t="str">
        <f ca="1">QCI!G22</f>
        <v/>
      </c>
      <c r="G22" s="457">
        <f>QCI!H22</f>
        <v>0</v>
      </c>
      <c r="H22" s="458">
        <f>QCI!I22</f>
        <v>0</v>
      </c>
      <c r="I22" s="459" t="str">
        <f ca="1">QCI!J22</f>
        <v/>
      </c>
      <c r="J22" s="460" t="str">
        <f ca="1">QCI!K22</f>
        <v/>
      </c>
      <c r="K22" s="461" t="str">
        <f ca="1">IF($C22="Automático",IF(ACOMPANHAMENTO="BM",BM.medicao,PLE.Medicao),IF(ISBLANK($X22),"",$X22))</f>
        <v/>
      </c>
      <c r="L22" s="462">
        <f ca="1">QCI!$O22</f>
        <v>0</v>
      </c>
      <c r="M22" s="464">
        <f t="shared" ca="1" si="1"/>
        <v>0</v>
      </c>
      <c r="N22" s="465">
        <f t="shared" ca="1" si="2"/>
        <v>0</v>
      </c>
      <c r="O22" s="466">
        <f t="shared" ca="1" si="3"/>
        <v>0</v>
      </c>
      <c r="P22" s="467">
        <f t="shared" ca="1" si="4"/>
        <v>0</v>
      </c>
      <c r="R22" s="463">
        <f ca="1">ROUND(IF($C22="Automático",AC22+AJ22,$Y22*IF(ISERROR(QCI!$AA22/QCI!$O22),0,QCI!$AA22/QCI!$O22)),2)</f>
        <v>0</v>
      </c>
      <c r="S22" s="463">
        <f ca="1">ROUND(IF($C22="Automático",AD22+AK22,$Y22*IF(ISERROR(QCI!$AB22/QCI!$O22),0,QCI!$AB22/QCI!$O22)),2)</f>
        <v>0</v>
      </c>
      <c r="T22" s="463">
        <f ca="1">ROUND(IF($C22="Automático",AF22+AM22,$Z22*IF(ISERROR(QCI!$AA22/QCI!$O22),0,QCI!$AA22/QCI!$O22)),2)</f>
        <v>0</v>
      </c>
      <c r="U22" s="463">
        <f ca="1">ROUND(IF($C22="Automático",AG22+AN22,$Z22*IF(ISERROR(QCI!$AB22/QCI!$O22),0,QCI!$AB22/QCI!$O22)),2)</f>
        <v>0</v>
      </c>
      <c r="V22" s="621">
        <f ca="1">IF(AND($L22&gt;0,$J22&lt;&gt;0,$J22&lt;&gt;"",COUNTIF($J$13:$J22,$J22)=1),OFFSET(V22,-1,0)+1,OFFSET(V22,-1,0))</f>
        <v>1</v>
      </c>
      <c r="X22" s="368"/>
      <c r="Y22" s="369"/>
      <c r="Z22" s="371"/>
      <c r="AC22" s="229">
        <f ca="1">IF(ACOMPANHAMENTO&lt;&gt;"PLE",0,SUMPRODUCT((OFFSET(CÁLCULO!$AX$15:$BH$15,$A22,0,$B22)&lt;=(PLE.Medicao-1))*OFFSET(CÁLCULO!$AB$15:$AL$15,$A22,0,$B22)*OFFSET(ORÇAMENTO!$AA$15,$A22,0,$B22)/(OFFSET(ORÇAMENTO!$X$15,$A22,0,$B22)+10^-12))+IF(AUTOEVENTO="Manual",SUMPRODUCT((OFFSET(CÁLCULO!$M$15,$A22,0,$B22)=1)*OFFSET(ORÇAMENTO!$AA$15,$A22,0,$B22)*(PLE!$AE$9-PLE!$Y$9)),0))</f>
        <v>0</v>
      </c>
      <c r="AD22" s="229">
        <f ca="1">IF(ACOMPANHAMENTO&lt;&gt;"PLE",0,SUMPRODUCT((OFFSET(CÁLCULO!$AX$15:$BH$15,$A22,0,$B22)&lt;=(PLE.Medicao-1))*OFFSET(CÁLCULO!$AB$15:$AL$15,$A22,0,$B22)*OFFSET(ORÇAMENTO!$AB$15,$A22,0,$B22)/(OFFSET(ORÇAMENTO!$X$15,$A22,0,$B22)+10^-12))+IF(AUTOEVENTO="Manual",SUMPRODUCT((OFFSET(CÁLCULO!$M$15,$A22,0,$B22)=1)*OFFSET(ORÇAMENTO!$AB$15,$A22,0,$B22)*(PLE!$AE$9-PLE!$Y$9)),0))</f>
        <v>0</v>
      </c>
      <c r="AE22" s="229">
        <f ca="1">ROUND(IF(ACOMPANHAMENTO&lt;&gt;"PLE",0,SUMIF(OFFSET(CÁLCULO!$AX$15:$BH$15,$A22,0,$B22),"&lt;="&amp;(PLE.Medicao-1),OFFSET(CÁLCULO!$AB$15:$AL$15,$A22,0,$B22))+IF(AUTOEVENTO="Manual",SUMIF(OFFSET(CÁLCULO!$M$15,$A22,0,$B22),1,OFFSET(ORÇAMENTO!$X$15,$A22,0,$B22))*(PLE!$AE$9-PLE!$Y$9),0)),2)</f>
        <v>0</v>
      </c>
      <c r="AF22" s="229">
        <f ca="1">IF(ACOMPANHAMENTO&lt;&gt;"PLE",0,SUMPRODUCT((OFFSET(CÁLCULO!$AX$15:$BH$15,$A22,0,$B22)&lt;=PLE.Medicao)*OFFSET(CÁLCULO!$AB$15:$AL$15,$A22,0,$B22)*OFFSET(ORÇAMENTO!$AA$15,$A22,0,$B22)/(OFFSET(ORÇAMENTO!$X$15,$A22,0,$B22)+10^-12))+IF(AUTOEVENTO="Manual",SUMPRODUCT((OFFSET(CÁLCULO!$M$15,$A22,0,$B22)=1)*OFFSET(ORÇAMENTO!$AA$15,$A22,0,$B22)*PLE!$AE$9),0))</f>
        <v>0</v>
      </c>
      <c r="AG22" s="229">
        <f ca="1">IF(ACOMPANHAMENTO&lt;&gt;"PLE",0,SUMPRODUCT((OFFSET(CÁLCULO!$AX$15:$BH$15,$A22,0,$B22)&lt;=PLE.Medicao)*OFFSET(CÁLCULO!$AB$15:$AL$15,$A22,0,$B22)*OFFSET(ORÇAMENTO!$AB$15,$A22,0,$B22)/(OFFSET(ORÇAMENTO!$X$15,$A22,0,$B22)+10^-12))+IF(AUTOEVENTO="Manual",SUMPRODUCT((OFFSET(CÁLCULO!$M$15,$A22,0,$B22)=1)*OFFSET(ORÇAMENTO!$AB$15,$A22,0,$B22)*PLE!$AE$9),0))</f>
        <v>0</v>
      </c>
      <c r="AH22" s="229">
        <f ca="1">ROUND(IF(ACOMPANHAMENTO&lt;&gt;"PLE",0,SUMIF(OFFSET(CÁLCULO!$AX$15:$BH$15,$A22,0,$B22),"&lt;="&amp;PLE.Medicao,OFFSET(CÁLCULO!$AB$15:$AL$15,$A22,0,$B22))+IF(AUTOEVENTO="Manual",SUMIF(OFFSET(CÁLCULO!$M$15,$A22,0,$B22),1,OFFSET(ORÇAMENTO!$X$15,$A22,0,$B22))*PLE!$AE$9,0)),2)</f>
        <v>0</v>
      </c>
      <c r="AJ22" s="229" t="e">
        <f ca="1">IF(ACOMPANHAMENTO&lt;&gt;"BM",0,SUMPRODUCT(OFFSET(BM!$M$15,$A22,0,$B22)*(OFFSET(BM!$A$15,$A22,0,$B22)="S")*OFFSET(ORÇAMENTO!AA$15,$A22,0,$B22)/(OFFSET(ORÇAMENTO!$X$15,$A22,0,$B22)+10^-12)))</f>
        <v>#N/A</v>
      </c>
      <c r="AK22" s="229" t="e">
        <f ca="1">IF(ACOMPANHAMENTO&lt;&gt;"BM",0,SUMPRODUCT(OFFSET(BM!$M$15,$A22,0,$B22)*(OFFSET(BM!$A$15,$A22,0,$B22)="S")*OFFSET(ORÇAMENTO!AB$15,$A22,0,$B22)/(OFFSET(ORÇAMENTO!$X$15,$A22,0,$B22)+10^-12)))</f>
        <v>#N/A</v>
      </c>
      <c r="AL22" s="229" t="e">
        <f ca="1">IF(ACOMPANHAMENTO&lt;&gt;"BM",0,OFFSET(BM!$M$15,$A22,0))</f>
        <v>#N/A</v>
      </c>
      <c r="AM22" s="229" t="e">
        <f ca="1">IF(ACOMPANHAMENTO&lt;&gt;"BM",0,SUMPRODUCT(OFFSET(BM!$O$15,$A22,0,$B22)*(OFFSET(BM!$A$15,$A22,0,$B22)="S")*OFFSET(ORÇAMENTO!AA$15,$A22,0,$B22)/(OFFSET(ORÇAMENTO!$X$15,$A22,0,$B22)+10^-12)))</f>
        <v>#N/A</v>
      </c>
      <c r="AN22" s="229" t="e">
        <f ca="1">IF(ACOMPANHAMENTO&lt;&gt;"BM",0,SUMPRODUCT(OFFSET(BM!$O$15,$A22,0,$B22)*(OFFSET(BM!$A$15,$A22,0,$B22)="S")*OFFSET(ORÇAMENTO!AB$15,$A22,0,$B22)/(OFFSET(ORÇAMENTO!$X$15,$A22,0,$B22)+10^-12)))</f>
        <v>#N/A</v>
      </c>
      <c r="AO22" s="229" t="e">
        <f ca="1">IF(ACOMPANHAMENTO&lt;&gt;"BM",0,OFFSET(BM!$O$15,$A22,0))</f>
        <v>#N/A</v>
      </c>
    </row>
    <row r="23" spans="1:41">
      <c r="A23" t="e">
        <f ca="1">MATCH(E23,ORÇAMENTO!$E$15:$E$43,0)-1</f>
        <v>#N/A</v>
      </c>
      <c r="B23" t="e">
        <f ca="1">IF(ISERROR($A23),NA(),OFFSET(ORÇAMENTO!$D$15,$A23,0))</f>
        <v>#N/A</v>
      </c>
      <c r="C23" t="str">
        <f ca="1">QCI!B23</f>
        <v>Branco</v>
      </c>
      <c r="D23" t="str">
        <f ca="1">IF(L23&gt;0,"F","")</f>
        <v/>
      </c>
      <c r="E23" s="455">
        <f>QCI!D23</f>
        <v>10</v>
      </c>
      <c r="F23" s="456" t="str">
        <f ca="1">QCI!G23</f>
        <v/>
      </c>
      <c r="G23" s="457">
        <f>QCI!H23</f>
        <v>0</v>
      </c>
      <c r="H23" s="458">
        <f>QCI!I23</f>
        <v>0</v>
      </c>
      <c r="I23" s="459" t="str">
        <f ca="1">QCI!J23</f>
        <v/>
      </c>
      <c r="J23" s="460" t="str">
        <f ca="1">QCI!K23</f>
        <v/>
      </c>
      <c r="K23" s="461" t="str">
        <f ca="1">IF($C23="Automático",IF(ACOMPANHAMENTO="BM",BM.medicao,PLE.Medicao),IF(ISBLANK($X23),"",$X23))</f>
        <v/>
      </c>
      <c r="L23" s="462">
        <f ca="1">QCI!$O23</f>
        <v>0</v>
      </c>
      <c r="M23" s="464">
        <f ca="1">ROUND(IF(C23="Automático",AE23+AL23,Y23),2)</f>
        <v>0</v>
      </c>
      <c r="N23" s="465">
        <f ca="1">O23-M23</f>
        <v>0</v>
      </c>
      <c r="O23" s="466">
        <f ca="1">ROUND(IF(C23="Automático",AH23+AO23,Z23),2)</f>
        <v>0</v>
      </c>
      <c r="P23" s="467">
        <f ca="1">O23/(L23+10^-12)</f>
        <v>0</v>
      </c>
      <c r="R23" s="463">
        <f ca="1">ROUND(IF($C23="Automático",AC23+AJ23,$Y23*IF(ISERROR(QCI!$AA23/QCI!$O23),0,QCI!$AA23/QCI!$O23)),2)</f>
        <v>0</v>
      </c>
      <c r="S23" s="463">
        <f ca="1">ROUND(IF($C23="Automático",AD23+AK23,$Y23*IF(ISERROR(QCI!$AB23/QCI!$O23),0,QCI!$AB23/QCI!$O23)),2)</f>
        <v>0</v>
      </c>
      <c r="T23" s="463">
        <f ca="1">ROUND(IF($C23="Automático",AF23+AM23,$Z23*IF(ISERROR(QCI!$AA23/QCI!$O23),0,QCI!$AA23/QCI!$O23)),2)</f>
        <v>0</v>
      </c>
      <c r="U23" s="463">
        <f ca="1">ROUND(IF($C23="Automático",AG23+AN23,$Z23*IF(ISERROR(QCI!$AB23/QCI!$O23),0,QCI!$AB23/QCI!$O23)),2)</f>
        <v>0</v>
      </c>
      <c r="V23" s="621">
        <f ca="1">IF(AND($L23&gt;0,$J23&lt;&gt;0,$J23&lt;&gt;"",COUNTIF($J$13:$J23,$J23)=1),OFFSET(V23,-1,0)+1,OFFSET(V23,-1,0))</f>
        <v>1</v>
      </c>
      <c r="X23" s="368"/>
      <c r="Y23" s="369"/>
      <c r="Z23" s="371"/>
      <c r="AC23" s="229">
        <f ca="1">IF(ACOMPANHAMENTO&lt;&gt;"PLE",0,SUMPRODUCT((OFFSET(CÁLCULO!$AX$15:$BH$15,$A23,0,$B23)&lt;=(PLE.Medicao-1))*OFFSET(CÁLCULO!$AB$15:$AL$15,$A23,0,$B23)*OFFSET(ORÇAMENTO!$AA$15,$A23,0,$B23)/(OFFSET(ORÇAMENTO!$X$15,$A23,0,$B23)+10^-12))+IF(AUTOEVENTO="Manual",SUMPRODUCT((OFFSET(CÁLCULO!$M$15,$A23,0,$B23)=1)*OFFSET(ORÇAMENTO!$AA$15,$A23,0,$B23)*(PLE!$AE$9-PLE!$Y$9)),0))</f>
        <v>0</v>
      </c>
      <c r="AD23" s="229">
        <f ca="1">IF(ACOMPANHAMENTO&lt;&gt;"PLE",0,SUMPRODUCT((OFFSET(CÁLCULO!$AX$15:$BH$15,$A23,0,$B23)&lt;=(PLE.Medicao-1))*OFFSET(CÁLCULO!$AB$15:$AL$15,$A23,0,$B23)*OFFSET(ORÇAMENTO!$AB$15,$A23,0,$B23)/(OFFSET(ORÇAMENTO!$X$15,$A23,0,$B23)+10^-12))+IF(AUTOEVENTO="Manual",SUMPRODUCT((OFFSET(CÁLCULO!$M$15,$A23,0,$B23)=1)*OFFSET(ORÇAMENTO!$AB$15,$A23,0,$B23)*(PLE!$AE$9-PLE!$Y$9)),0))</f>
        <v>0</v>
      </c>
      <c r="AE23" s="229">
        <f ca="1">ROUND(IF(ACOMPANHAMENTO&lt;&gt;"PLE",0,SUMIF(OFFSET(CÁLCULO!$AX$15:$BH$15,$A23,0,$B23),"&lt;="&amp;(PLE.Medicao-1),OFFSET(CÁLCULO!$AB$15:$AL$15,$A23,0,$B23))+IF(AUTOEVENTO="Manual",SUMIF(OFFSET(CÁLCULO!$M$15,$A23,0,$B23),1,OFFSET(ORÇAMENTO!$X$15,$A23,0,$B23))*(PLE!$AE$9-PLE!$Y$9),0)),2)</f>
        <v>0</v>
      </c>
      <c r="AF23" s="229">
        <f ca="1">IF(ACOMPANHAMENTO&lt;&gt;"PLE",0,SUMPRODUCT((OFFSET(CÁLCULO!$AX$15:$BH$15,$A23,0,$B23)&lt;=PLE.Medicao)*OFFSET(CÁLCULO!$AB$15:$AL$15,$A23,0,$B23)*OFFSET(ORÇAMENTO!$AA$15,$A23,0,$B23)/(OFFSET(ORÇAMENTO!$X$15,$A23,0,$B23)+10^-12))+IF(AUTOEVENTO="Manual",SUMPRODUCT((OFFSET(CÁLCULO!$M$15,$A23,0,$B23)=1)*OFFSET(ORÇAMENTO!$AA$15,$A23,0,$B23)*PLE!$AE$9),0))</f>
        <v>0</v>
      </c>
      <c r="AG23" s="229">
        <f ca="1">IF(ACOMPANHAMENTO&lt;&gt;"PLE",0,SUMPRODUCT((OFFSET(CÁLCULO!$AX$15:$BH$15,$A23,0,$B23)&lt;=PLE.Medicao)*OFFSET(CÁLCULO!$AB$15:$AL$15,$A23,0,$B23)*OFFSET(ORÇAMENTO!$AB$15,$A23,0,$B23)/(OFFSET(ORÇAMENTO!$X$15,$A23,0,$B23)+10^-12))+IF(AUTOEVENTO="Manual",SUMPRODUCT((OFFSET(CÁLCULO!$M$15,$A23,0,$B23)=1)*OFFSET(ORÇAMENTO!$AB$15,$A23,0,$B23)*PLE!$AE$9),0))</f>
        <v>0</v>
      </c>
      <c r="AH23" s="229">
        <f ca="1">ROUND(IF(ACOMPANHAMENTO&lt;&gt;"PLE",0,SUMIF(OFFSET(CÁLCULO!$AX$15:$BH$15,$A23,0,$B23),"&lt;="&amp;PLE.Medicao,OFFSET(CÁLCULO!$AB$15:$AL$15,$A23,0,$B23))+IF(AUTOEVENTO="Manual",SUMIF(OFFSET(CÁLCULO!$M$15,$A23,0,$B23),1,OFFSET(ORÇAMENTO!$X$15,$A23,0,$B23))*PLE!$AE$9,0)),2)</f>
        <v>0</v>
      </c>
      <c r="AJ23" s="229" t="e">
        <f ca="1">IF(ACOMPANHAMENTO&lt;&gt;"BM",0,SUMPRODUCT(OFFSET(BM!$M$15,$A23,0,$B23)*(OFFSET(BM!$A$15,$A23,0,$B23)="S")*OFFSET(ORÇAMENTO!AA$15,$A23,0,$B23)/(OFFSET(ORÇAMENTO!$X$15,$A23,0,$B23)+10^-12)))</f>
        <v>#N/A</v>
      </c>
      <c r="AK23" s="229" t="e">
        <f ca="1">IF(ACOMPANHAMENTO&lt;&gt;"BM",0,SUMPRODUCT(OFFSET(BM!$M$15,$A23,0,$B23)*(OFFSET(BM!$A$15,$A23,0,$B23)="S")*OFFSET(ORÇAMENTO!AB$15,$A23,0,$B23)/(OFFSET(ORÇAMENTO!$X$15,$A23,0,$B23)+10^-12)))</f>
        <v>#N/A</v>
      </c>
      <c r="AL23" s="229" t="e">
        <f ca="1">IF(ACOMPANHAMENTO&lt;&gt;"BM",0,OFFSET(BM!$M$15,$A23,0))</f>
        <v>#N/A</v>
      </c>
      <c r="AM23" s="229" t="e">
        <f ca="1">IF(ACOMPANHAMENTO&lt;&gt;"BM",0,SUMPRODUCT(OFFSET(BM!$O$15,$A23,0,$B23)*(OFFSET(BM!$A$15,$A23,0,$B23)="S")*OFFSET(ORÇAMENTO!AA$15,$A23,0,$B23)/(OFFSET(ORÇAMENTO!$X$15,$A23,0,$B23)+10^-12)))</f>
        <v>#N/A</v>
      </c>
      <c r="AN23" s="229" t="e">
        <f ca="1">IF(ACOMPANHAMENTO&lt;&gt;"BM",0,SUMPRODUCT(OFFSET(BM!$O$15,$A23,0,$B23)*(OFFSET(BM!$A$15,$A23,0,$B23)="S")*OFFSET(ORÇAMENTO!AB$15,$A23,0,$B23)/(OFFSET(ORÇAMENTO!$X$15,$A23,0,$B23)+10^-12)))</f>
        <v>#N/A</v>
      </c>
      <c r="AO23" s="229" t="e">
        <f ca="1">IF(ACOMPANHAMENTO&lt;&gt;"BM",0,OFFSET(BM!$O$15,$A23,0))</f>
        <v>#N/A</v>
      </c>
    </row>
    <row r="24" spans="1:41" ht="12.95" customHeight="1">
      <c r="D24" t="s">
        <v>246</v>
      </c>
      <c r="E24" s="1"/>
      <c r="F24" s="1"/>
      <c r="G24" s="1"/>
      <c r="H24" s="1"/>
      <c r="I24" s="2"/>
      <c r="J24" s="811" t="s">
        <v>376</v>
      </c>
      <c r="K24" s="812"/>
      <c r="L24" s="469">
        <f ca="1">IF(ISERROR(L28/$L28),0,ROUND(L28/$L28,4))</f>
        <v>1</v>
      </c>
      <c r="M24" s="471">
        <f ca="1">IF(ISERROR(M28/$L28),0,ROUND(M28/$L28,4))</f>
        <v>0</v>
      </c>
      <c r="N24" s="470">
        <f ca="1">IF(ISERROR(N28/$L28),0,ROUND(N28/$L28,4))</f>
        <v>0</v>
      </c>
      <c r="O24" s="472">
        <f ca="1">IF(ISERROR(O28/$L28),0,ROUND(O28/$L28,4))</f>
        <v>0</v>
      </c>
      <c r="P24" s="813">
        <f ca="1">O28/(L28+10^-12)</f>
        <v>0</v>
      </c>
      <c r="X24" s="473"/>
      <c r="Y24" s="474"/>
      <c r="Z24" s="475"/>
    </row>
    <row r="25" spans="1:41" ht="12.95" customHeight="1">
      <c r="D25" t="s">
        <v>246</v>
      </c>
      <c r="E25" s="523"/>
      <c r="F25" s="523"/>
      <c r="G25" s="523"/>
      <c r="H25" s="523"/>
      <c r="I25" s="5"/>
      <c r="J25" s="814" t="str">
        <f>IF(import.recurso="FGTS","Financiamento","Repasse")</f>
        <v>Repasse</v>
      </c>
      <c r="K25" s="815"/>
      <c r="L25" s="476">
        <f ca="1">QCI!L24</f>
        <v>4133.84</v>
      </c>
      <c r="M25" s="477">
        <f ca="1">M28-M27-M26</f>
        <v>0</v>
      </c>
      <c r="N25" s="478">
        <f ca="1">O25-M25</f>
        <v>0</v>
      </c>
      <c r="O25" s="479">
        <f ca="1">O28-O27-O26</f>
        <v>0</v>
      </c>
      <c r="P25" s="813"/>
      <c r="X25" s="480"/>
      <c r="Y25" s="481" t="s">
        <v>377</v>
      </c>
      <c r="Z25" s="482" t="s">
        <v>378</v>
      </c>
      <c r="AC25" s="483" t="s">
        <v>379</v>
      </c>
      <c r="AD25" s="483" t="s">
        <v>380</v>
      </c>
    </row>
    <row r="26" spans="1:41" ht="12.95" customHeight="1">
      <c r="D26" t="s">
        <v>246</v>
      </c>
      <c r="E26" s="523"/>
      <c r="F26" s="523"/>
      <c r="G26" s="523"/>
      <c r="H26" s="523"/>
      <c r="I26" s="5"/>
      <c r="J26" s="816" t="s">
        <v>381</v>
      </c>
      <c r="K26" s="817"/>
      <c r="L26" s="484">
        <f ca="1">QCI!M24</f>
        <v>0</v>
      </c>
      <c r="M26" s="485">
        <f ca="1">ROUND(IF(OFFSET($X$26,0,1)&lt;&gt;"",OFFSET($X$26,0,1),SUM(R13:OFFSET(R24,-1,0))),2)</f>
        <v>0</v>
      </c>
      <c r="N26" s="486">
        <f ca="1">O26-M26</f>
        <v>0</v>
      </c>
      <c r="O26" s="487">
        <f ca="1">IF(OFFSET($X$26,0,2)&lt;&gt;"",OFFSET($X$26,0,2),$AE$3)</f>
        <v>0</v>
      </c>
      <c r="P26" s="813"/>
      <c r="X26" s="488" t="s">
        <v>169</v>
      </c>
      <c r="Y26" s="616"/>
      <c r="Z26" s="617"/>
      <c r="AC26" s="489">
        <f ca="1">MIN($L26,$O$28-OFFSET($X$27,0,1))</f>
        <v>0</v>
      </c>
      <c r="AD26" s="489">
        <f ca="1">MIN($L26,$O$28-OFFSET($X$27,0,2))</f>
        <v>0</v>
      </c>
    </row>
    <row r="27" spans="1:41" ht="12.95" customHeight="1">
      <c r="D27" t="s">
        <v>246</v>
      </c>
      <c r="E27" s="523"/>
      <c r="F27" s="523"/>
      <c r="G27" s="523"/>
      <c r="H27" s="523"/>
      <c r="I27" s="5"/>
      <c r="J27" s="796" t="s">
        <v>358</v>
      </c>
      <c r="K27" s="797"/>
      <c r="L27" s="490">
        <f ca="1">QCI!N24</f>
        <v>0</v>
      </c>
      <c r="M27" s="491">
        <f ca="1">ROUND(IF(OFFSET($X$27,0,1)&lt;&gt;"",OFFSET($X$27,0,1),SUM(S13:OFFSET(S24,-1,0))),2)</f>
        <v>0</v>
      </c>
      <c r="N27" s="492">
        <f ca="1">O27-M27</f>
        <v>0</v>
      </c>
      <c r="O27" s="493">
        <f ca="1">IF(OFFSET($X$27,0,2)&lt;&gt;"",OFFSET($X$27,0,2),$AE$4)</f>
        <v>0</v>
      </c>
      <c r="P27" s="813"/>
      <c r="X27" s="494" t="s">
        <v>278</v>
      </c>
      <c r="Y27" s="618"/>
      <c r="Z27" s="619"/>
      <c r="AC27" s="489">
        <f ca="1">MIN($L27,$O$28-OFFSET($X$26,0,1))</f>
        <v>0</v>
      </c>
      <c r="AD27" s="489">
        <f ca="1">MIN($L27,$O$28-OFFSET($X$26,0,2))</f>
        <v>0</v>
      </c>
    </row>
    <row r="28" spans="1:41" ht="15">
      <c r="D28" t="s">
        <v>246</v>
      </c>
      <c r="E28" s="523"/>
      <c r="F28" s="523"/>
      <c r="G28" s="523"/>
      <c r="H28" s="523"/>
      <c r="I28" s="5"/>
      <c r="J28" s="798" t="s">
        <v>360</v>
      </c>
      <c r="K28" s="799"/>
      <c r="L28" s="495">
        <f ca="1">SUM(L13:OFFSET(L24,-1,0))</f>
        <v>4133.84</v>
      </c>
      <c r="M28" s="496">
        <f ca="1">ROUND(SUM(M13:OFFSET(M24,-1,0)),2)</f>
        <v>0</v>
      </c>
      <c r="N28" s="497">
        <f ca="1">O28-M28</f>
        <v>0</v>
      </c>
      <c r="O28" s="498">
        <f ca="1">SUM(O13:OFFSET(O24,-1,0))</f>
        <v>0</v>
      </c>
      <c r="P28" s="813"/>
      <c r="X28" s="499"/>
      <c r="Y28" s="500"/>
      <c r="Z28" s="501"/>
    </row>
    <row r="29" spans="1:41">
      <c r="O29" s="800" t="str">
        <f ca="1">"Acumulado Anterior:  "&amp;TEXT($M$28/($L$28+10^-12),"0,00%")</f>
        <v>Acumulado Anterior:  0,00%</v>
      </c>
      <c r="P29" s="800"/>
    </row>
    <row r="30" spans="1:41" ht="14.25">
      <c r="E30" s="166" t="s">
        <v>187</v>
      </c>
      <c r="F30" s="101"/>
      <c r="G30" s="101"/>
      <c r="H30" s="101"/>
      <c r="I30" s="101"/>
      <c r="J30" s="101"/>
      <c r="K30" s="101"/>
      <c r="M30" s="101"/>
      <c r="N30" s="101"/>
      <c r="P30" s="624"/>
      <c r="R30" s="101"/>
      <c r="S30" s="101"/>
      <c r="T30" s="101"/>
      <c r="U30" s="101"/>
    </row>
    <row r="31" spans="1:41" ht="12.75" customHeight="1">
      <c r="E31" s="804"/>
      <c r="F31" s="805"/>
      <c r="G31" s="805"/>
      <c r="H31" s="805"/>
      <c r="I31" s="805"/>
      <c r="J31" s="805"/>
      <c r="K31" s="805"/>
      <c r="L31" s="805"/>
      <c r="M31" s="805"/>
      <c r="N31" s="805"/>
      <c r="O31" s="805"/>
      <c r="P31" s="806"/>
      <c r="R31" s="101"/>
      <c r="S31" s="101"/>
      <c r="T31" s="101"/>
      <c r="U31" s="101"/>
    </row>
    <row r="32" spans="1:41" ht="12.75" customHeight="1">
      <c r="E32" s="804"/>
      <c r="F32" s="805"/>
      <c r="G32" s="805"/>
      <c r="H32" s="805"/>
      <c r="I32" s="805"/>
      <c r="J32" s="805"/>
      <c r="K32" s="805"/>
      <c r="L32" s="805"/>
      <c r="M32" s="805"/>
      <c r="N32" s="805"/>
      <c r="O32" s="805"/>
      <c r="P32" s="806"/>
      <c r="R32" s="101"/>
      <c r="S32" s="101"/>
      <c r="T32" s="101"/>
      <c r="U32" s="101"/>
      <c r="Y32" s="502"/>
      <c r="Z32" s="502"/>
    </row>
    <row r="33" spans="5:21" ht="12.75" customHeight="1">
      <c r="E33" s="807"/>
      <c r="F33" s="808"/>
      <c r="G33" s="808"/>
      <c r="H33" s="808"/>
      <c r="I33" s="808"/>
      <c r="J33" s="808"/>
      <c r="K33" s="808"/>
      <c r="L33" s="808"/>
      <c r="M33" s="808"/>
      <c r="N33" s="808"/>
      <c r="O33" s="808"/>
      <c r="P33" s="809"/>
      <c r="R33" s="101"/>
      <c r="S33" s="101"/>
      <c r="T33" s="101"/>
      <c r="U33" s="101"/>
    </row>
    <row r="34" spans="5:21">
      <c r="R34" s="101"/>
      <c r="S34" s="101"/>
      <c r="T34" s="101"/>
      <c r="U34" s="101"/>
    </row>
    <row r="35" spans="5:21" ht="15">
      <c r="E35" s="712" t="str">
        <f>Import.Município</f>
        <v>PAINS/MG</v>
      </c>
      <c r="F35" s="712"/>
      <c r="G35" s="712"/>
      <c r="I35" s="503"/>
      <c r="J35" s="96"/>
      <c r="L35" s="735">
        <f ca="1">DADOS!$F$25</f>
        <v>45609</v>
      </c>
      <c r="M35" s="735"/>
      <c r="N35" s="735"/>
      <c r="O35" s="735"/>
      <c r="R35" s="101"/>
      <c r="S35" s="101"/>
      <c r="T35" s="101"/>
      <c r="U35" s="101"/>
    </row>
    <row r="36" spans="5:21">
      <c r="E36" s="12" t="s">
        <v>188</v>
      </c>
      <c r="F36" s="100"/>
      <c r="G36" s="100"/>
      <c r="L36" s="321" t="s">
        <v>189</v>
      </c>
      <c r="R36" s="101"/>
      <c r="S36" s="101"/>
      <c r="T36" s="101"/>
      <c r="U36" s="101"/>
    </row>
    <row r="37" spans="5:21">
      <c r="E37" s="100"/>
      <c r="F37" s="100"/>
      <c r="G37" s="100"/>
      <c r="R37" s="101"/>
      <c r="S37" s="101"/>
      <c r="T37" s="101"/>
      <c r="U37" s="101"/>
    </row>
    <row r="38" spans="5:21">
      <c r="E38" s="224"/>
      <c r="F38" s="224"/>
      <c r="G38" s="224"/>
      <c r="L38" s="224"/>
      <c r="M38" s="224"/>
      <c r="N38" s="224"/>
      <c r="O38" s="224"/>
      <c r="R38" s="101"/>
      <c r="S38" s="101"/>
      <c r="T38" s="101"/>
      <c r="U38" s="101"/>
    </row>
    <row r="39" spans="5:21">
      <c r="E39" s="504" t="str">
        <f>IF(CAIXA.Modo,"Responsável Gerencial CAIXA","Representante Tomador")</f>
        <v>Representante Tomador</v>
      </c>
      <c r="F39" s="9"/>
      <c r="L39" s="504" t="str">
        <f>IF(CAIXA.Modo,"Responsável Técnico CAIXA","Responsável Técnico pela Fiscalização")</f>
        <v>Responsável Técnico pela Fiscalização</v>
      </c>
      <c r="R39" s="101"/>
      <c r="S39" s="101"/>
      <c r="T39" s="101"/>
      <c r="U39" s="101"/>
    </row>
    <row r="40" spans="5:21">
      <c r="E40" s="90" t="s">
        <v>108</v>
      </c>
      <c r="F40" s="349" t="str">
        <f>IF(CAIXA.Modo,DADOS!F60,DADOS!F28)</f>
        <v>MARCO AURÉLIO RABELO GOMES</v>
      </c>
      <c r="L40" s="90" t="s">
        <v>108</v>
      </c>
      <c r="M40" s="810">
        <f>IF(CAIXA.Modo,BM!X55,DADOS!F51)</f>
        <v>0</v>
      </c>
      <c r="N40" s="810"/>
      <c r="O40" s="810"/>
      <c r="R40" s="101"/>
      <c r="S40" s="101"/>
      <c r="T40" s="101"/>
      <c r="U40" s="101"/>
    </row>
    <row r="41" spans="5:21">
      <c r="E41" s="90" t="str">
        <f>IF(CAIXA.Modo,"Função:","Cargo:")</f>
        <v>Cargo:</v>
      </c>
      <c r="F41" s="349" t="str">
        <f>IF(CAIXA.Modo,DADOS!F61,DADOS!F29)</f>
        <v>PREFEITO MUNICIPAL</v>
      </c>
      <c r="L41" s="90" t="str">
        <f>IF(CAIXA.Modo,"Matrícula:","Profissão:")</f>
        <v>Profissão:</v>
      </c>
      <c r="M41" s="810">
        <f>IF(CAIXA.Modo,BM!X56,DADOS!F52)</f>
        <v>0</v>
      </c>
      <c r="N41" s="810"/>
      <c r="O41" s="810"/>
      <c r="R41" s="101"/>
      <c r="S41" s="101"/>
      <c r="T41" s="101"/>
      <c r="U41" s="101"/>
    </row>
    <row r="42" spans="5:21">
      <c r="L42" s="90" t="s">
        <v>109</v>
      </c>
      <c r="M42" s="810">
        <f>IF(CAIXA.Modo,BM!X57,DADOS!F53)</f>
        <v>0</v>
      </c>
      <c r="N42" s="810"/>
      <c r="O42" s="810"/>
      <c r="R42" s="101"/>
      <c r="S42" s="101"/>
      <c r="T42" s="101"/>
      <c r="U42" s="101"/>
    </row>
    <row r="43" spans="5:21">
      <c r="L43" s="90" t="str">
        <f>IF(CAIXA.Modo,"","ART/RRT:")</f>
        <v>ART/RRT:</v>
      </c>
      <c r="M43" s="350">
        <f>IF(CAIXA.Modo,"",DADOS!F54)</f>
        <v>0</v>
      </c>
      <c r="R43" s="101"/>
      <c r="S43" s="101"/>
      <c r="T43" s="101"/>
      <c r="U43" s="101"/>
    </row>
    <row r="44" spans="5:21">
      <c r="R44" s="101"/>
      <c r="S44" s="101"/>
      <c r="T44" s="101"/>
      <c r="U44" s="101"/>
    </row>
    <row r="45" spans="5:21">
      <c r="E45" s="224"/>
      <c r="F45" s="224"/>
      <c r="G45" s="224"/>
      <c r="L45" s="224"/>
      <c r="M45" s="224"/>
      <c r="N45" s="224"/>
      <c r="O45" s="224"/>
      <c r="R45" s="101"/>
      <c r="S45" s="101"/>
      <c r="T45" s="101"/>
      <c r="U45" s="101"/>
    </row>
    <row r="46" spans="5:21">
      <c r="E46" t="str">
        <f>IF(CAIXA.Modo,"Responsável Social CAIXA","Responsável Social")</f>
        <v>Responsável Social</v>
      </c>
      <c r="L46" t="str">
        <f>IF(CAIXA.Modo,"Responsável Operacional CAIXA","Responsável Financeiro")</f>
        <v>Responsável Financeiro</v>
      </c>
      <c r="R46" s="101"/>
      <c r="S46" s="101"/>
      <c r="T46" s="101"/>
      <c r="U46" s="101"/>
    </row>
    <row r="47" spans="5:21">
      <c r="E47" s="90" t="s">
        <v>108</v>
      </c>
      <c r="F47" s="786"/>
      <c r="G47" s="786"/>
      <c r="L47" s="90" t="s">
        <v>108</v>
      </c>
      <c r="M47" s="786"/>
      <c r="N47" s="786"/>
      <c r="O47" s="786"/>
      <c r="R47" s="101"/>
      <c r="S47" s="101"/>
      <c r="T47" s="101"/>
      <c r="U47" s="101"/>
    </row>
    <row r="48" spans="5:21">
      <c r="E48" s="90" t="str">
        <f>IF(CAIXA.Modo,"Função:","Cargo:")</f>
        <v>Cargo:</v>
      </c>
      <c r="F48" s="786"/>
      <c r="G48" s="786"/>
      <c r="L48" s="90" t="str">
        <f>IF(CAIXA.Modo,"Função:","Cargo:")</f>
        <v>Cargo:</v>
      </c>
      <c r="M48" s="786"/>
      <c r="N48" s="786"/>
      <c r="O48" s="786"/>
      <c r="R48" s="101"/>
      <c r="S48" s="101"/>
      <c r="T48" s="101"/>
      <c r="U48" s="101"/>
    </row>
    <row r="49" spans="5:21">
      <c r="E49" s="90" t="str">
        <f>IF(CAIXA.Modo,"Matr:","")</f>
        <v/>
      </c>
      <c r="F49" s="786"/>
      <c r="G49" s="786"/>
      <c r="L49" s="90" t="str">
        <f>IF(CAIXA.Modo,"Matrícula:","")</f>
        <v/>
      </c>
      <c r="M49" s="786"/>
      <c r="N49" s="786"/>
      <c r="O49" s="786"/>
      <c r="R49" s="101"/>
      <c r="S49" s="101"/>
      <c r="T49" s="101"/>
      <c r="U49" s="101"/>
    </row>
    <row r="50" spans="5:21">
      <c r="R50" s="101"/>
      <c r="S50" s="101"/>
      <c r="T50" s="101"/>
      <c r="U50" s="101"/>
    </row>
    <row r="51" spans="5:21">
      <c r="R51" s="101"/>
      <c r="S51" s="101"/>
      <c r="T51" s="101"/>
      <c r="U51" s="101"/>
    </row>
    <row r="52" spans="5:21">
      <c r="R52" s="101"/>
      <c r="S52" s="101"/>
      <c r="T52" s="101"/>
      <c r="U52" s="101"/>
    </row>
  </sheetData>
  <sheetProtection sheet="1" objects="1" scenarios="1" autoFilter="0"/>
  <autoFilter ref="D13:D30"/>
  <mergeCells count="40">
    <mergeCell ref="M4:O4"/>
    <mergeCell ref="M49:O49"/>
    <mergeCell ref="E31:P33"/>
    <mergeCell ref="L35:O35"/>
    <mergeCell ref="M40:O40"/>
    <mergeCell ref="M41:O41"/>
    <mergeCell ref="M42:O42"/>
    <mergeCell ref="M47:O47"/>
    <mergeCell ref="F49:G49"/>
    <mergeCell ref="E35:G35"/>
    <mergeCell ref="F47:G47"/>
    <mergeCell ref="F48:G48"/>
    <mergeCell ref="J24:K24"/>
    <mergeCell ref="P24:P28"/>
    <mergeCell ref="J25:K25"/>
    <mergeCell ref="J26:K26"/>
    <mergeCell ref="J27:K27"/>
    <mergeCell ref="J28:K28"/>
    <mergeCell ref="O29:P29"/>
    <mergeCell ref="M48:O48"/>
    <mergeCell ref="AC10:AH10"/>
    <mergeCell ref="AJ10:AO10"/>
    <mergeCell ref="Y11:Z11"/>
    <mergeCell ref="AC11:AE11"/>
    <mergeCell ref="AF11:AH11"/>
    <mergeCell ref="AJ11:AL11"/>
    <mergeCell ref="AM11:AO11"/>
    <mergeCell ref="D7:D11"/>
    <mergeCell ref="E7:H7"/>
    <mergeCell ref="I7:L7"/>
    <mergeCell ref="G9:H9"/>
    <mergeCell ref="I9:J9"/>
    <mergeCell ref="L9:L10"/>
    <mergeCell ref="G10:H10"/>
    <mergeCell ref="E6:H6"/>
    <mergeCell ref="I6:L6"/>
    <mergeCell ref="E3:H3"/>
    <mergeCell ref="I3:K3"/>
    <mergeCell ref="E4:H4"/>
    <mergeCell ref="I4:K4"/>
  </mergeCells>
  <phoneticPr fontId="37" type="noConversion"/>
  <conditionalFormatting sqref="X12:Z12">
    <cfRule type="expression" dxfId="8" priority="82" stopIfTrue="1">
      <formula>OR($C12="Automático",$C12="Branco")</formula>
    </cfRule>
  </conditionalFormatting>
  <conditionalFormatting sqref="F49:G49 M49:O49">
    <cfRule type="expression" dxfId="7" priority="83" stopIfTrue="1">
      <formula>CAIXA.Modo=FALSE</formula>
    </cfRule>
  </conditionalFormatting>
  <conditionalFormatting sqref="M12 M25:M28 O12 O25:O28">
    <cfRule type="cellIs" dxfId="6" priority="84" stopIfTrue="1" operator="notBetween">
      <formula>0</formula>
      <formula>$L12</formula>
    </cfRule>
  </conditionalFormatting>
  <conditionalFormatting sqref="M10:N10">
    <cfRule type="cellIs" dxfId="5" priority="85" stopIfTrue="1" operator="lessThan">
      <formula>0</formula>
    </cfRule>
  </conditionalFormatting>
  <conditionalFormatting sqref="X14:Z22">
    <cfRule type="expression" dxfId="4" priority="3" stopIfTrue="1">
      <formula>OR($C14="Automático",$C14="Branco")</formula>
    </cfRule>
  </conditionalFormatting>
  <conditionalFormatting sqref="M14:M22 O14:O22">
    <cfRule type="cellIs" dxfId="3" priority="4" stopIfTrue="1" operator="notBetween">
      <formula>0</formula>
      <formula>$L14</formula>
    </cfRule>
  </conditionalFormatting>
  <conditionalFormatting sqref="X23:Z23">
    <cfRule type="expression" dxfId="2" priority="1" stopIfTrue="1">
      <formula>OR($C23="Automático",$C23="Branco")</formula>
    </cfRule>
  </conditionalFormatting>
  <conditionalFormatting sqref="M23 O23">
    <cfRule type="cellIs" dxfId="1" priority="2" stopIfTrue="1" operator="notBetween">
      <formula>0</formula>
      <formula>$L23</formula>
    </cfRule>
  </conditionalFormatting>
  <dataValidations disablePrompts="1" count="5">
    <dataValidation type="decimal" errorStyle="warning" allowBlank="1" showInputMessage="1" showErrorMessage="1" errorTitle="Erro de valor" error="Valor menor que 0,00 ou maior que o valor da Contrapartida/Outros." promptTitle="Contrapartida Anterior:" prompt="Deixe essa célula em branco para o cálculo automático. Preencha somente para valores de CP diferentes do previsto." sqref="Y26">
      <formula1>0</formula1>
      <formula2>RRE.MaxCPAnt</formula2>
    </dataValidation>
    <dataValidation type="decimal" errorStyle="warning" allowBlank="1" showInputMessage="1" showErrorMessage="1" errorTitle="Erro de valor" error="Valor menor que 0,00 ou maior que o valor da Contrapartida/Outros." promptTitle="Contrapartida Acumulada:" prompt="Deixe essa célula em branco para o cálculo automático. Preencha somente para valores de CP diferentes do previsto." sqref="Z26">
      <formula1>0</formula1>
      <formula2>RRE.MaxCPAcum</formula2>
    </dataValidation>
    <dataValidation type="decimal" errorStyle="warning" allowBlank="1" showInputMessage="1" showErrorMessage="1" errorTitle="Erro de valor" error="Valor menor que 0,00 ou maior que o valor da Contrapartida/Outros." promptTitle="Outros Anterior:" prompt="Deixe essa célula em branco para o cálculo automático. Preencha somente para valores de Outros diferentes do previsto." sqref="Y27">
      <formula1>0</formula1>
      <formula2>RRE.MaxOUAnt</formula2>
    </dataValidation>
    <dataValidation type="decimal" errorStyle="warning" allowBlank="1" showInputMessage="1" showErrorMessage="1" errorTitle="Erro de valor" error="Valor menor que 0,00 ou maior que o valor da Contrapartida/Outros." promptTitle="Outros Acumulada:" prompt="Deixe essa célula em branco para o cálculo automático. Preencha somente para valores de Outros diferentes do previsto." sqref="Z27">
      <formula1>0</formula1>
      <formula2>RRE.MaxOUAcum</formula2>
    </dataValidation>
    <dataValidation type="decimal" allowBlank="1" showInputMessage="1" showErrorMessage="1" sqref="Y12:Z12 Y14:Z23">
      <formula1>0</formula1>
      <formula2>RRE.VIMeta</formula2>
    </dataValidation>
  </dataValidations>
  <pageMargins left="0.78740157480314998" right="0.78740157480314998" top="0.78740157480314998" bottom="0.78740157480314998" header="0.59055118110236204" footer="0.59055118110236204"/>
  <pageSetup paperSize="9" scale="73" firstPageNumber="0" fitToHeight="0" orientation="landscape" horizontalDpi="300" verticalDpi="300" r:id="rId1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Plan12"/>
  <dimension ref="A1:Q56"/>
  <sheetViews>
    <sheetView showGridLines="0" zoomScale="90" zoomScaleNormal="90" zoomScaleSheetLayoutView="100" workbookViewId="0">
      <selection activeCell="P35" sqref="P35"/>
    </sheetView>
  </sheetViews>
  <sheetFormatPr defaultRowHeight="12.75"/>
  <cols>
    <col min="1" max="1" width="2" style="100" customWidth="1"/>
    <col min="2" max="2" width="15.7109375" style="100" customWidth="1"/>
    <col min="3" max="3" width="6.7109375" style="100" customWidth="1"/>
    <col min="4" max="5" width="20.7109375" style="100" customWidth="1"/>
    <col min="6" max="6" width="8.7109375" style="100" customWidth="1"/>
    <col min="7" max="7" width="12.7109375" style="100" customWidth="1"/>
    <col min="8" max="8" width="20.7109375" customWidth="1"/>
    <col min="9" max="9" width="13.7109375" customWidth="1"/>
    <col min="10" max="12" width="16.7109375" customWidth="1"/>
    <col min="14" max="14" width="14.140625" customWidth="1"/>
  </cols>
  <sheetData>
    <row r="1" spans="2:17">
      <c r="B1" s="823"/>
      <c r="C1" s="823"/>
      <c r="D1" s="61"/>
      <c r="E1" s="61"/>
      <c r="F1" s="61"/>
      <c r="G1" s="64" t="s">
        <v>140</v>
      </c>
    </row>
    <row r="2" spans="2:17">
      <c r="B2" s="823"/>
      <c r="C2" s="823"/>
      <c r="D2" s="505"/>
      <c r="E2" s="505"/>
      <c r="F2" s="505"/>
      <c r="G2" s="14" t="s">
        <v>382</v>
      </c>
    </row>
    <row r="3" spans="2:17" ht="26.1" customHeight="1" thickBot="1">
      <c r="B3" s="823"/>
      <c r="C3" s="823"/>
      <c r="D3" s="506"/>
      <c r="E3" s="506"/>
      <c r="F3" s="506"/>
      <c r="G3" s="507"/>
      <c r="I3" s="508" t="s">
        <v>383</v>
      </c>
      <c r="J3" s="172"/>
      <c r="K3" s="172"/>
      <c r="L3" s="172"/>
    </row>
    <row r="4" spans="2:17" ht="12.75" customHeight="1">
      <c r="B4" s="823"/>
      <c r="C4" s="823"/>
      <c r="D4" s="505"/>
      <c r="E4" s="505"/>
      <c r="F4" s="505"/>
      <c r="G4" s="505"/>
      <c r="I4" s="824" t="s">
        <v>384</v>
      </c>
      <c r="J4" s="826" t="s">
        <v>385</v>
      </c>
      <c r="K4" s="826" t="s">
        <v>386</v>
      </c>
      <c r="L4" s="818" t="s">
        <v>387</v>
      </c>
    </row>
    <row r="5" spans="2:17">
      <c r="I5" s="825"/>
      <c r="J5" s="827"/>
      <c r="K5" s="827"/>
      <c r="L5" s="819"/>
    </row>
    <row r="6" spans="2:17">
      <c r="B6" s="509" t="s">
        <v>388</v>
      </c>
      <c r="C6" s="820" t="s">
        <v>486</v>
      </c>
      <c r="D6" s="820"/>
      <c r="E6" s="509"/>
      <c r="F6" s="509"/>
      <c r="G6" s="61"/>
      <c r="I6" s="601" t="str">
        <f ca="1">IF(ROW(I6)-ROW(L$5)&gt;MAX(RRE!$V$13:$V$24),"",INDEX(RRE!$J$13:$J$24,MATCH(ROW(I6)-ROW(I$5),RRE!$V$13:$V$24,0)))</f>
        <v>LOTE 1</v>
      </c>
      <c r="J6" s="602">
        <f ca="1">IF(I6="","",SUMIF(RRE!$J$13:$J$24,OFÍCIO!$I6,RRE!$L$13:$L$24))</f>
        <v>4133.84</v>
      </c>
      <c r="K6" s="602">
        <f ca="1">IF(J6="","",SUMIF(RRE!$J$13:$J$24,OFÍCIO!$I6,RRE!$N$13:$N$24))</f>
        <v>0</v>
      </c>
      <c r="L6" s="603">
        <f ca="1">IF(K6="","",SUMIF(RRE!$J$13:$J$24,OFÍCIO!$I6,RRE!$O$13:$O$24))</f>
        <v>0</v>
      </c>
      <c r="N6" s="12"/>
    </row>
    <row r="7" spans="2:17">
      <c r="B7" s="510"/>
      <c r="C7" s="510"/>
      <c r="D7" s="505"/>
      <c r="E7" s="505"/>
      <c r="F7" s="505"/>
      <c r="G7" s="505"/>
      <c r="I7" s="595" t="str">
        <f ca="1">IF(ROW(I7)-ROW(L$5)&gt;MAX(RRE!$V$13:$V$24),"",INDEX(RRE!$J$13:$J$24,MATCH(ROW(I7)-ROW(I$5),RRE!$V$13:$V$24,0)))</f>
        <v/>
      </c>
      <c r="J7" s="596" t="str">
        <f ca="1">IF(I7="","",SUMIF(RRE!$J$13:$J$24,OFÍCIO!$I7,RRE!$L$13:$L$24))</f>
        <v/>
      </c>
      <c r="K7" s="596" t="str">
        <f ca="1">IF(J7="","",SUMIF(RRE!$J$13:$J$24,OFÍCIO!$I7,RRE!$N$13:$N$24))</f>
        <v/>
      </c>
      <c r="L7" s="597" t="str">
        <f ca="1">IF(K7="","",SUMIF(RRE!$J$13:$J$24,OFÍCIO!$I7,RRE!$O$13:$O$24))</f>
        <v/>
      </c>
    </row>
    <row r="8" spans="2:17">
      <c r="B8" s="821" t="str">
        <f ca="1">CONCATENATE(RRE!$E$35,", ",TEXT(RRE!$L$35,"dd"" de ""mmmm"" de ""aaaa"))</f>
        <v>PAINS/MG, 13 de novembro de 2024</v>
      </c>
      <c r="C8" s="821"/>
      <c r="D8" s="821"/>
      <c r="E8" s="821"/>
      <c r="F8" s="821"/>
      <c r="G8" s="821"/>
      <c r="H8" s="511"/>
      <c r="I8" s="595" t="str">
        <f ca="1">IF(ROW(I8)-ROW(L$5)&gt;MAX(RRE!$V$13:$V$24),"",INDEX(RRE!$J$13:$J$24,MATCH(ROW(I8)-ROW(I$5),RRE!$V$13:$V$24,0)))</f>
        <v/>
      </c>
      <c r="J8" s="596" t="str">
        <f ca="1">IF(I8="","",SUMIF(RRE!$J$13:$J$24,OFÍCIO!$I8,RRE!$L$13:$L$24))</f>
        <v/>
      </c>
      <c r="K8" s="596" t="str">
        <f ca="1">IF(J8="","",SUMIF(RRE!$J$13:$J$24,OFÍCIO!$I8,RRE!$N$13:$N$24))</f>
        <v/>
      </c>
      <c r="L8" s="597" t="str">
        <f ca="1">IF(K8="","",SUMIF(RRE!$J$13:$J$24,OFÍCIO!$I8,RRE!$O$13:$O$24))</f>
        <v/>
      </c>
      <c r="N8" s="511"/>
      <c r="O8" s="511"/>
      <c r="P8" s="511"/>
      <c r="Q8" s="511"/>
    </row>
    <row r="9" spans="2:17">
      <c r="B9" s="512" t="s">
        <v>389</v>
      </c>
      <c r="C9" s="61"/>
      <c r="D9" s="61"/>
      <c r="G9" s="61"/>
      <c r="H9" s="511"/>
      <c r="I9" s="595" t="str">
        <f ca="1">IF(ROW(I9)-ROW(L$5)&gt;MAX(RRE!$V$13:$V$24),"",INDEX(RRE!$J$13:$J$24,MATCH(ROW(I9)-ROW(I$5),RRE!$V$13:$V$24,0)))</f>
        <v/>
      </c>
      <c r="J9" s="596" t="str">
        <f ca="1">IF(I9="","",SUMIF(RRE!$J$13:$J$24,OFÍCIO!$I9,RRE!$L$13:$L$24))</f>
        <v/>
      </c>
      <c r="K9" s="596" t="str">
        <f ca="1">IF(J9="","",SUMIF(RRE!$J$13:$J$24,OFÍCIO!$I9,RRE!$N$13:$N$24))</f>
        <v/>
      </c>
      <c r="L9" s="597" t="str">
        <f ca="1">IF(K9="","",SUMIF(RRE!$J$13:$J$24,OFÍCIO!$I9,RRE!$O$13:$O$24))</f>
        <v/>
      </c>
      <c r="N9" s="511"/>
      <c r="O9" s="511"/>
      <c r="P9" s="511"/>
      <c r="Q9" s="511"/>
    </row>
    <row r="10" spans="2:17">
      <c r="B10" s="822" t="s">
        <v>390</v>
      </c>
      <c r="C10" s="822"/>
      <c r="D10" s="822"/>
      <c r="G10" s="61"/>
      <c r="H10" s="511"/>
      <c r="I10" s="595" t="str">
        <f ca="1">IF(ROW(I10)-ROW(L$5)&gt;MAX(RRE!$V$13:$V$24),"",INDEX(RRE!$J$13:$J$24,MATCH(ROW(I10)-ROW(I$5),RRE!$V$13:$V$24,0)))</f>
        <v/>
      </c>
      <c r="J10" s="596" t="str">
        <f ca="1">IF(I10="","",SUMIF(RRE!$J$13:$J$24,OFÍCIO!$I10,RRE!$L$13:$L$24))</f>
        <v/>
      </c>
      <c r="K10" s="596" t="str">
        <f ca="1">IF(J10="","",SUMIF(RRE!$J$13:$J$24,OFÍCIO!$I10,RRE!$N$13:$N$24))</f>
        <v/>
      </c>
      <c r="L10" s="597" t="str">
        <f ca="1">IF(K10="","",SUMIF(RRE!$J$13:$J$24,OFÍCIO!$I10,RRE!$O$13:$O$24))</f>
        <v/>
      </c>
      <c r="N10" s="511"/>
      <c r="O10" s="511"/>
      <c r="P10" s="511"/>
      <c r="Q10" s="511"/>
    </row>
    <row r="11" spans="2:17">
      <c r="B11" s="513" t="s">
        <v>410</v>
      </c>
      <c r="C11" s="832"/>
      <c r="D11" s="832"/>
      <c r="G11" s="61"/>
      <c r="H11" s="511"/>
      <c r="I11" s="595" t="str">
        <f ca="1">IF(ROW(I11)-ROW(L$5)&gt;MAX(RRE!$V$13:$V$24),"",INDEX(RRE!$J$13:$J$24,MATCH(ROW(I11)-ROW(I$5),RRE!$V$13:$V$24,0)))</f>
        <v/>
      </c>
      <c r="J11" s="596" t="str">
        <f ca="1">IF(I11="","",SUMIF(RRE!$J$13:$J$24,OFÍCIO!$I11,RRE!$L$13:$L$24))</f>
        <v/>
      </c>
      <c r="K11" s="596" t="str">
        <f ca="1">IF(J11="","",SUMIF(RRE!$J$13:$J$24,OFÍCIO!$I11,RRE!$N$13:$N$24))</f>
        <v/>
      </c>
      <c r="L11" s="597" t="str">
        <f ca="1">IF(K11="","",SUMIF(RRE!$J$13:$J$24,OFÍCIO!$I11,RRE!$O$13:$O$24))</f>
        <v/>
      </c>
      <c r="N11" s="511"/>
      <c r="O11" s="511"/>
      <c r="P11" s="511"/>
      <c r="Q11" s="511"/>
    </row>
    <row r="12" spans="2:17">
      <c r="B12" s="514"/>
      <c r="C12" s="514"/>
      <c r="D12" s="514"/>
      <c r="E12" s="514"/>
      <c r="F12" s="514"/>
      <c r="G12" s="61"/>
      <c r="H12" s="511"/>
      <c r="I12" s="595" t="str">
        <f ca="1">IF(ROW(I12)-ROW(L$5)&gt;MAX(RRE!$V$13:$V$24),"",INDEX(RRE!$J$13:$J$24,MATCH(ROW(I12)-ROW(I$5),RRE!$V$13:$V$24,0)))</f>
        <v/>
      </c>
      <c r="J12" s="596" t="str">
        <f ca="1">IF(I12="","",SUMIF(RRE!$J$13:$J$24,OFÍCIO!$I12,RRE!$L$13:$L$24))</f>
        <v/>
      </c>
      <c r="K12" s="596" t="str">
        <f ca="1">IF(J12="","",SUMIF(RRE!$J$13:$J$24,OFÍCIO!$I12,RRE!$N$13:$N$24))</f>
        <v/>
      </c>
      <c r="L12" s="597" t="str">
        <f ca="1">IF(K12="","",SUMIF(RRE!$J$13:$J$24,OFÍCIO!$I12,RRE!$O$13:$O$24))</f>
        <v/>
      </c>
      <c r="N12" s="511"/>
      <c r="O12" s="511"/>
      <c r="P12" s="511"/>
      <c r="Q12" s="511"/>
    </row>
    <row r="13" spans="2:17">
      <c r="B13" s="61"/>
      <c r="C13" s="61"/>
      <c r="D13" s="61"/>
      <c r="E13" s="61"/>
      <c r="F13" s="61"/>
      <c r="G13" s="61"/>
      <c r="I13" s="595" t="str">
        <f ca="1">IF(ROW(I13)-ROW(L$5)&gt;MAX(RRE!$V$13:$V$24),"",INDEX(RRE!$J$13:$J$24,MATCH(ROW(I13)-ROW(I$5),RRE!$V$13:$V$24,0)))</f>
        <v/>
      </c>
      <c r="J13" s="596" t="str">
        <f ca="1">IF(I13="","",SUMIF(RRE!$J$13:$J$24,OFÍCIO!$I13,RRE!$L$13:$L$24))</f>
        <v/>
      </c>
      <c r="K13" s="596" t="str">
        <f ca="1">IF(J13="","",SUMIF(RRE!$J$13:$J$24,OFÍCIO!$I13,RRE!$N$13:$N$24))</f>
        <v/>
      </c>
      <c r="L13" s="597" t="str">
        <f ca="1">IF(K13="","",SUMIF(RRE!$J$13:$J$24,OFÍCIO!$I13,RRE!$O$13:$O$24))</f>
        <v/>
      </c>
    </row>
    <row r="14" spans="2:17">
      <c r="B14" s="512" t="s">
        <v>391</v>
      </c>
      <c r="C14" s="822" t="str">
        <f ca="1">CONCATENATE(RRE.Numero,"ª"," Solicitação de ",IF(import.recurso="OGU","Desbloqueio","Desembolso")," de Recursos.")</f>
        <v>1ª Solicitação de Desbloqueio de Recursos.</v>
      </c>
      <c r="D14" s="822"/>
      <c r="E14" s="822"/>
      <c r="F14" s="822"/>
      <c r="G14" s="822"/>
      <c r="I14" s="595" t="str">
        <f ca="1">IF(ROW(I14)-ROW(L$5)&gt;MAX(RRE!$V$13:$V$24),"",INDEX(RRE!$J$13:$J$24,MATCH(ROW(I14)-ROW(I$5),RRE!$V$13:$V$24,0)))</f>
        <v/>
      </c>
      <c r="J14" s="596" t="str">
        <f ca="1">IF(I14="","",SUMIF(RRE!$J$13:$J$24,OFÍCIO!$I14,RRE!$L$13:$L$24))</f>
        <v/>
      </c>
      <c r="K14" s="596" t="str">
        <f ca="1">IF(J14="","",SUMIF(RRE!$J$13:$J$24,OFÍCIO!$I14,RRE!$N$13:$N$24))</f>
        <v/>
      </c>
      <c r="L14" s="597" t="str">
        <f ca="1">IF(K14="","",SUMIF(RRE!$J$13:$J$24,OFÍCIO!$I14,RRE!$O$13:$O$24))</f>
        <v/>
      </c>
    </row>
    <row r="15" spans="2:17" ht="12.75" customHeight="1">
      <c r="B15" s="512" t="s">
        <v>392</v>
      </c>
      <c r="C15" s="833" t="str">
        <f>CONCATENATE("Contrato de ",IF(import.recurso="OGU","Repasse","Financiamento")," - Operação nº ",Import.CR,IF(Import.TransfereGOV="","",CONCATENATE(" - TransfereGOV nº ",Import.TransfereGOV)))</f>
        <v>Contrato de Repasse - Operação nº 17405-2024 - TransfereGOV nº 965783/2024</v>
      </c>
      <c r="D15" s="833"/>
      <c r="E15" s="833"/>
      <c r="F15" s="833"/>
      <c r="G15" s="833"/>
      <c r="I15" s="595" t="str">
        <f ca="1">IF(ROW(I15)-ROW(L$5)&gt;MAX(RRE!$V$13:$V$24),"",INDEX(RRE!$J$13:$J$24,MATCH(ROW(I15)-ROW(I$5),RRE!$V$13:$V$24,0)))</f>
        <v/>
      </c>
      <c r="J15" s="596" t="str">
        <f ca="1">IF(I15="","",SUMIF(RRE!$J$13:$J$24,OFÍCIO!$I15,RRE!$L$13:$L$24))</f>
        <v/>
      </c>
      <c r="K15" s="596" t="str">
        <f ca="1">IF(J15="","",SUMIF(RRE!$J$13:$J$24,OFÍCIO!$I15,RRE!$N$13:$N$24))</f>
        <v/>
      </c>
      <c r="L15" s="597" t="str">
        <f ca="1">IF(K15="","",SUMIF(RRE!$J$13:$J$24,OFÍCIO!$I15,RRE!$O$13:$O$24))</f>
        <v/>
      </c>
    </row>
    <row r="16" spans="2:17">
      <c r="B16" s="512"/>
      <c r="C16" s="833"/>
      <c r="D16" s="833"/>
      <c r="E16" s="833"/>
      <c r="F16" s="833"/>
      <c r="G16" s="833"/>
      <c r="I16" s="595" t="str">
        <f ca="1">IF(ROW(I16)-ROW(L$5)&gt;MAX(RRE!$V$13:$V$24),"",INDEX(RRE!$J$13:$J$24,MATCH(ROW(I16)-ROW(I$5),RRE!$V$13:$V$24,0)))</f>
        <v/>
      </c>
      <c r="J16" s="596" t="str">
        <f ca="1">IF(I16="","",SUMIF(RRE!$J$13:$J$24,OFÍCIO!$I16,RRE!$L$13:$L$24))</f>
        <v/>
      </c>
      <c r="K16" s="596" t="str">
        <f ca="1">IF(J16="","",SUMIF(RRE!$J$13:$J$24,OFÍCIO!$I16,RRE!$N$13:$N$24))</f>
        <v/>
      </c>
      <c r="L16" s="597" t="str">
        <f ca="1">IF(K16="","",SUMIF(RRE!$J$13:$J$24,OFÍCIO!$I16,RRE!$O$13:$O$24))</f>
        <v/>
      </c>
    </row>
    <row r="17" spans="2:12">
      <c r="B17" s="61"/>
      <c r="C17" s="61"/>
      <c r="D17" s="61"/>
      <c r="E17" s="61"/>
      <c r="F17" s="61"/>
      <c r="G17" s="61"/>
      <c r="I17" s="595" t="str">
        <f ca="1">IF(ROW(I17)-ROW(L$5)&gt;MAX(RRE!$V$13:$V$24),"",INDEX(RRE!$J$13:$J$24,MATCH(ROW(I17)-ROW(I$5),RRE!$V$13:$V$24,0)))</f>
        <v/>
      </c>
      <c r="J17" s="596" t="str">
        <f ca="1">IF(I17="","",SUMIF(RRE!$J$13:$J$24,OFÍCIO!$I17,RRE!$L$13:$L$24))</f>
        <v/>
      </c>
      <c r="K17" s="596" t="str">
        <f ca="1">IF(J17="","",SUMIF(RRE!$J$13:$J$24,OFÍCIO!$I17,RRE!$N$13:$N$24))</f>
        <v/>
      </c>
      <c r="L17" s="597" t="str">
        <f ca="1">IF(K17="","",SUMIF(RRE!$J$13:$J$24,OFÍCIO!$I17,RRE!$O$13:$O$24))</f>
        <v/>
      </c>
    </row>
    <row r="18" spans="2:12" ht="12.75" customHeight="1">
      <c r="B18" s="515" t="s">
        <v>393</v>
      </c>
      <c r="C18" s="834" t="str">
        <f>Import.DescLote</f>
        <v>RECAPEAMENDO DA ESTRADA MUNICIPAL SEBASTIÃO MANECA</v>
      </c>
      <c r="D18" s="834"/>
      <c r="E18" s="834"/>
      <c r="F18" s="834"/>
      <c r="G18" s="834"/>
      <c r="I18" s="595" t="str">
        <f ca="1">IF(ROW(I18)-ROW(L$5)&gt;MAX(RRE!$V$13:$V$24),"",INDEX(RRE!$J$13:$J$24,MATCH(ROW(I18)-ROW(I$5),RRE!$V$13:$V$24,0)))</f>
        <v/>
      </c>
      <c r="J18" s="596" t="str">
        <f ca="1">IF(I18="","",SUMIF(RRE!$J$13:$J$24,OFÍCIO!$I18,RRE!$L$13:$L$24))</f>
        <v/>
      </c>
      <c r="K18" s="596" t="str">
        <f ca="1">IF(J18="","",SUMIF(RRE!$J$13:$J$24,OFÍCIO!$I18,RRE!$N$13:$N$24))</f>
        <v/>
      </c>
      <c r="L18" s="597" t="str">
        <f ca="1">IF(K18="","",SUMIF(RRE!$J$13:$J$24,OFÍCIO!$I18,RRE!$O$13:$O$24))</f>
        <v/>
      </c>
    </row>
    <row r="19" spans="2:12" ht="12.75" customHeight="1">
      <c r="B19" s="830" t="s">
        <v>394</v>
      </c>
      <c r="C19" s="831" t="str">
        <f>Import.Proponente</f>
        <v>MUNICÍPIO DE PAINS</v>
      </c>
      <c r="D19" s="831"/>
      <c r="E19" s="831"/>
      <c r="F19" s="831"/>
      <c r="G19" s="831"/>
      <c r="I19" s="595" t="str">
        <f ca="1">IF(ROW(I19)-ROW(L$5)&gt;MAX(RRE!$V$13:$V$24),"",INDEX(RRE!$J$13:$J$24,MATCH(ROW(I19)-ROW(I$5),RRE!$V$13:$V$24,0)))</f>
        <v/>
      </c>
      <c r="J19" s="596" t="str">
        <f ca="1">IF(I19="","",SUMIF(RRE!$J$13:$J$24,OFÍCIO!$I19,RRE!$L$13:$L$24))</f>
        <v/>
      </c>
      <c r="K19" s="596" t="str">
        <f ca="1">IF(J19="","",SUMIF(RRE!$J$13:$J$24,OFÍCIO!$I19,RRE!$N$13:$N$24))</f>
        <v/>
      </c>
      <c r="L19" s="597" t="str">
        <f ca="1">IF(K19="","",SUMIF(RRE!$J$13:$J$24,OFÍCIO!$I19,RRE!$O$13:$O$24))</f>
        <v/>
      </c>
    </row>
    <row r="20" spans="2:12">
      <c r="B20" s="830"/>
      <c r="C20" s="831"/>
      <c r="D20" s="831"/>
      <c r="E20" s="831"/>
      <c r="F20" s="831"/>
      <c r="G20" s="831"/>
      <c r="I20" s="595" t="str">
        <f ca="1">IF(ROW(I20)-ROW(L$5)&gt;MAX(RRE!$V$13:$V$24),"",INDEX(RRE!$J$13:$J$24,MATCH(ROW(I20)-ROW(I$5),RRE!$V$13:$V$24,0)))</f>
        <v/>
      </c>
      <c r="J20" s="596" t="str">
        <f ca="1">IF(I20="","",SUMIF(RRE!$J$13:$J$24,OFÍCIO!$I20,RRE!$L$13:$L$24))</f>
        <v/>
      </c>
      <c r="K20" s="596" t="str">
        <f ca="1">IF(J20="","",SUMIF(RRE!$J$13:$J$24,OFÍCIO!$I20,RRE!$N$13:$N$24))</f>
        <v/>
      </c>
      <c r="L20" s="597" t="str">
        <f ca="1">IF(K20="","",SUMIF(RRE!$J$13:$J$24,OFÍCIO!$I20,RRE!$O$13:$O$24))</f>
        <v/>
      </c>
    </row>
    <row r="21" spans="2:12">
      <c r="B21" s="61"/>
      <c r="C21" s="61"/>
      <c r="D21" s="61"/>
      <c r="E21" s="61"/>
      <c r="F21" s="61"/>
      <c r="G21" s="61"/>
      <c r="I21" s="595" t="str">
        <f ca="1">IF(ROW(I21)-ROW(L$5)&gt;MAX(RRE!$V$13:$V$24),"",INDEX(RRE!$J$13:$J$24,MATCH(ROW(I21)-ROW(I$5),RRE!$V$13:$V$24,0)))</f>
        <v/>
      </c>
      <c r="J21" s="596" t="str">
        <f ca="1">IF(I21="","",SUMIF(RRE!$J$13:$J$24,OFÍCIO!$I21,RRE!$L$13:$L$24))</f>
        <v/>
      </c>
      <c r="K21" s="596" t="str">
        <f ca="1">IF(J21="","",SUMIF(RRE!$J$13:$J$24,OFÍCIO!$I21,RRE!$N$13:$N$24))</f>
        <v/>
      </c>
      <c r="L21" s="597" t="str">
        <f ca="1">IF(K21="","",SUMIF(RRE!$J$13:$J$24,OFÍCIO!$I21,RRE!$O$13:$O$24))</f>
        <v/>
      </c>
    </row>
    <row r="22" spans="2:12">
      <c r="B22" s="100" t="str">
        <f>IF(B11="GIGOV","Senhor Gerente","Senhor Superintendente")</f>
        <v>Senhor Gerente</v>
      </c>
      <c r="D22" s="61"/>
      <c r="E22" s="61"/>
      <c r="F22" s="61"/>
      <c r="G22" s="61"/>
      <c r="I22" s="595" t="str">
        <f ca="1">IF(ROW(I22)-ROW(L$5)&gt;MAX(RRE!$V$13:$V$24),"",INDEX(RRE!$J$13:$J$24,MATCH(ROW(I22)-ROW(I$5),RRE!$V$13:$V$24,0)))</f>
        <v/>
      </c>
      <c r="J22" s="596" t="str">
        <f ca="1">IF(I22="","",SUMIF(RRE!$J$13:$J$24,OFÍCIO!$I22,RRE!$L$13:$L$24))</f>
        <v/>
      </c>
      <c r="K22" s="596" t="str">
        <f ca="1">IF(J22="","",SUMIF(RRE!$J$13:$J$24,OFÍCIO!$I22,RRE!$N$13:$N$24))</f>
        <v/>
      </c>
      <c r="L22" s="597" t="str">
        <f ca="1">IF(K22="","",SUMIF(RRE!$J$13:$J$24,OFÍCIO!$I22,RRE!$O$13:$O$24))</f>
        <v/>
      </c>
    </row>
    <row r="23" spans="2:12">
      <c r="B23" s="61"/>
      <c r="C23" s="61"/>
      <c r="D23" s="61"/>
      <c r="E23" s="61"/>
      <c r="F23" s="61"/>
      <c r="G23" s="61"/>
      <c r="I23" s="595" t="str">
        <f ca="1">IF(ROW(I23)-ROW(L$5)&gt;MAX(RRE!$V$13:$V$24),"",INDEX(RRE!$J$13:$J$24,MATCH(ROW(I23)-ROW(I$5),RRE!$V$13:$V$24,0)))</f>
        <v/>
      </c>
      <c r="J23" s="596" t="str">
        <f ca="1">IF(I23="","",SUMIF(RRE!$J$13:$J$24,OFÍCIO!$I23,RRE!$L$13:$L$24))</f>
        <v/>
      </c>
      <c r="K23" s="596" t="str">
        <f ca="1">IF(J23="","",SUMIF(RRE!$J$13:$J$24,OFÍCIO!$I23,RRE!$N$13:$N$24))</f>
        <v/>
      </c>
      <c r="L23" s="597" t="str">
        <f ca="1">IF(K23="","",SUMIF(RRE!$J$13:$J$24,OFÍCIO!$I23,RRE!$O$13:$O$24))</f>
        <v/>
      </c>
    </row>
    <row r="24" spans="2:12" ht="12.75" customHeight="1">
      <c r="B24" s="828" t="str">
        <f>CONCATENATE("1. Vimos pelo presente, solicitar à Caixa Econômica Federal autorização para ",IF(import.recurso="OGU","desbloqueio","desembolso")," da parcela de recursos relativa ao Contrato de ",IF(import.recurso="OGU","Repasse","Financiamento")," em referência, conforme valores abaixo discriminados e, para tanto, anexamos a documentação necessária ao pleito.")</f>
        <v>1. Vimos pelo presente, solicitar à Caixa Econômica Federal autorização para desbloqueio da parcela de recursos relativa ao Contrato de Repasse em referência, conforme valores abaixo discriminados e, para tanto, anexamos a documentação necessária ao pleito.</v>
      </c>
      <c r="C24" s="828"/>
      <c r="D24" s="828"/>
      <c r="E24" s="828"/>
      <c r="F24" s="828"/>
      <c r="G24" s="828"/>
      <c r="I24" s="595" t="str">
        <f ca="1">IF(ROW(I24)-ROW(L$5)&gt;MAX(RRE!$V$13:$V$24),"",INDEX(RRE!$J$13:$J$24,MATCH(ROW(I24)-ROW(I$5),RRE!$V$13:$V$24,0)))</f>
        <v/>
      </c>
      <c r="J24" s="596" t="str">
        <f ca="1">IF(I24="","",SUMIF(RRE!$J$13:$J$24,OFÍCIO!$I24,RRE!$L$13:$L$24))</f>
        <v/>
      </c>
      <c r="K24" s="596" t="str">
        <f ca="1">IF(J24="","",SUMIF(RRE!$J$13:$J$24,OFÍCIO!$I24,RRE!$N$13:$N$24))</f>
        <v/>
      </c>
      <c r="L24" s="597" t="str">
        <f ca="1">IF(K24="","",SUMIF(RRE!$J$13:$J$24,OFÍCIO!$I24,RRE!$O$13:$O$24))</f>
        <v/>
      </c>
    </row>
    <row r="25" spans="2:12">
      <c r="B25" s="828"/>
      <c r="C25" s="828"/>
      <c r="D25" s="828"/>
      <c r="E25" s="828"/>
      <c r="F25" s="828"/>
      <c r="G25" s="828"/>
      <c r="I25" s="595" t="str">
        <f ca="1">IF(ROW(I25)-ROW(L$5)&gt;MAX(RRE!$V$13:$V$24),"",INDEX(RRE!$J$13:$J$24,MATCH(ROW(I25)-ROW(I$5),RRE!$V$13:$V$24,0)))</f>
        <v/>
      </c>
      <c r="J25" s="596" t="str">
        <f ca="1">IF(I25="","",SUMIF(RRE!$J$13:$J$24,OFÍCIO!$I25,RRE!$L$13:$L$24))</f>
        <v/>
      </c>
      <c r="K25" s="596" t="str">
        <f ca="1">IF(J25="","",SUMIF(RRE!$J$13:$J$24,OFÍCIO!$I25,RRE!$N$13:$N$24))</f>
        <v/>
      </c>
      <c r="L25" s="597" t="str">
        <f ca="1">IF(K25="","",SUMIF(RRE!$J$13:$J$24,OFÍCIO!$I25,RRE!$O$13:$O$24))</f>
        <v/>
      </c>
    </row>
    <row r="26" spans="2:12">
      <c r="B26" s="828"/>
      <c r="C26" s="828"/>
      <c r="D26" s="828"/>
      <c r="E26" s="828"/>
      <c r="F26" s="828"/>
      <c r="G26" s="828"/>
      <c r="I26" s="595" t="str">
        <f ca="1">IF(ROW(I26)-ROW(L$5)&gt;MAX(RRE!$V$13:$V$24),"",INDEX(RRE!$J$13:$J$24,MATCH(ROW(I26)-ROW(I$5),RRE!$V$13:$V$24,0)))</f>
        <v/>
      </c>
      <c r="J26" s="596" t="str">
        <f ca="1">IF(I26="","",SUMIF(RRE!$J$13:$J$24,OFÍCIO!$I26,RRE!$L$13:$L$24))</f>
        <v/>
      </c>
      <c r="K26" s="596" t="str">
        <f ca="1">IF(J26="","",SUMIF(RRE!$J$13:$J$24,OFÍCIO!$I26,RRE!$N$13:$N$24))</f>
        <v/>
      </c>
      <c r="L26" s="597" t="str">
        <f ca="1">IF(K26="","",SUMIF(RRE!$J$13:$J$24,OFÍCIO!$I26,RRE!$O$13:$O$24))</f>
        <v/>
      </c>
    </row>
    <row r="27" spans="2:12">
      <c r="B27" s="61"/>
      <c r="C27" s="61"/>
      <c r="D27" s="61"/>
      <c r="E27" s="61"/>
      <c r="F27" s="61"/>
      <c r="G27" s="61"/>
      <c r="I27" s="595" t="str">
        <f ca="1">IF(ROW(I27)-ROW(L$5)&gt;MAX(RRE!$V$13:$V$24),"",INDEX(RRE!$J$13:$J$24,MATCH(ROW(I27)-ROW(I$5),RRE!$V$13:$V$24,0)))</f>
        <v/>
      </c>
      <c r="J27" s="596" t="str">
        <f ca="1">IF(I27="","",SUMIF(RRE!$J$13:$J$24,OFÍCIO!$I27,RRE!$L$13:$L$24))</f>
        <v/>
      </c>
      <c r="K27" s="596" t="str">
        <f ca="1">IF(J27="","",SUMIF(RRE!$J$13:$J$24,OFÍCIO!$I27,RRE!$N$13:$N$24))</f>
        <v/>
      </c>
      <c r="L27" s="597" t="str">
        <f ca="1">IF(K27="","",SUMIF(RRE!$J$13:$J$24,OFÍCIO!$I27,RRE!$O$13:$O$24))</f>
        <v/>
      </c>
    </row>
    <row r="28" spans="2:12" ht="12.75" customHeight="1">
      <c r="B28" s="829"/>
      <c r="C28" s="829"/>
      <c r="D28" s="835" t="s">
        <v>395</v>
      </c>
      <c r="E28" s="835" t="str">
        <f ca="1">"Evolução da "&amp;RRE.Numero&amp;"ª Medição"</f>
        <v>Evolução da 1ª Medição</v>
      </c>
      <c r="F28" s="836" t="s">
        <v>396</v>
      </c>
      <c r="G28" s="836"/>
      <c r="I28" s="595" t="str">
        <f ca="1">IF(ROW(I28)-ROW(L$5)&gt;MAX(RRE!$V$13:$V$24),"",INDEX(RRE!$J$13:$J$24,MATCH(ROW(I28)-ROW(I$5),RRE!$V$13:$V$24,0)))</f>
        <v/>
      </c>
      <c r="J28" s="596" t="str">
        <f ca="1">IF(I28="","",SUMIF(RRE!$J$13:$J$24,OFÍCIO!$I28,RRE!$L$13:$L$24))</f>
        <v/>
      </c>
      <c r="K28" s="596" t="str">
        <f ca="1">IF(J28="","",SUMIF(RRE!$J$13:$J$24,OFÍCIO!$I28,RRE!$N$13:$N$24))</f>
        <v/>
      </c>
      <c r="L28" s="597" t="str">
        <f ca="1">IF(K28="","",SUMIF(RRE!$J$13:$J$24,OFÍCIO!$I28,RRE!$O$13:$O$24))</f>
        <v/>
      </c>
    </row>
    <row r="29" spans="2:12">
      <c r="B29" s="829"/>
      <c r="C29" s="829"/>
      <c r="D29" s="835"/>
      <c r="E29" s="835"/>
      <c r="F29" s="836"/>
      <c r="G29" s="836"/>
      <c r="I29" s="595" t="str">
        <f ca="1">IF(ROW(I29)-ROW(L$5)&gt;MAX(RRE!$V$13:$V$24),"",INDEX(RRE!$J$13:$J$24,MATCH(ROW(I29)-ROW(I$5),RRE!$V$13:$V$24,0)))</f>
        <v/>
      </c>
      <c r="J29" s="596" t="str">
        <f ca="1">IF(I29="","",SUMIF(RRE!$J$13:$J$24,OFÍCIO!$I29,RRE!$L$13:$L$24))</f>
        <v/>
      </c>
      <c r="K29" s="596" t="str">
        <f ca="1">IF(J29="","",SUMIF(RRE!$J$13:$J$24,OFÍCIO!$I29,RRE!$N$13:$N$24))</f>
        <v/>
      </c>
      <c r="L29" s="597" t="str">
        <f ca="1">IF(K29="","",SUMIF(RRE!$J$13:$J$24,OFÍCIO!$I29,RRE!$O$13:$O$24))</f>
        <v/>
      </c>
    </row>
    <row r="30" spans="2:12">
      <c r="B30" s="837" t="str">
        <f>IF(import.recurso="FGTS","Financiamento:","Repasse:")</f>
        <v>Repasse:</v>
      </c>
      <c r="C30" s="837"/>
      <c r="D30" s="516">
        <f ca="1">RRE!L25</f>
        <v>4133.84</v>
      </c>
      <c r="E30" s="516">
        <f ca="1">RRE!N25</f>
        <v>0</v>
      </c>
      <c r="F30" s="838">
        <f ca="1">RRE!O25</f>
        <v>0</v>
      </c>
      <c r="G30" s="838"/>
      <c r="I30" s="595" t="str">
        <f ca="1">IF(ROW(I30)-ROW(L$5)&gt;MAX(RRE!$V$13:$V$24),"",INDEX(RRE!$J$13:$J$24,MATCH(ROW(I30)-ROW(I$5),RRE!$V$13:$V$24,0)))</f>
        <v/>
      </c>
      <c r="J30" s="596" t="str">
        <f ca="1">IF(I30="","",SUMIF(RRE!$J$13:$J$24,OFÍCIO!$I30,RRE!$L$13:$L$24))</f>
        <v/>
      </c>
      <c r="K30" s="596" t="str">
        <f ca="1">IF(J30="","",SUMIF(RRE!$J$13:$J$24,OFÍCIO!$I30,RRE!$N$13:$N$24))</f>
        <v/>
      </c>
      <c r="L30" s="597" t="str">
        <f ca="1">IF(K30="","",SUMIF(RRE!$J$13:$J$24,OFÍCIO!$I30,RRE!$O$13:$O$24))</f>
        <v/>
      </c>
    </row>
    <row r="31" spans="2:12">
      <c r="B31" s="837" t="s">
        <v>397</v>
      </c>
      <c r="C31" s="837"/>
      <c r="D31" s="516">
        <f ca="1">RRE!L26</f>
        <v>0</v>
      </c>
      <c r="E31" s="516">
        <f ca="1">RRE!N26</f>
        <v>0</v>
      </c>
      <c r="F31" s="838">
        <f ca="1">RRE!O26</f>
        <v>0</v>
      </c>
      <c r="G31" s="838"/>
      <c r="I31" s="595" t="str">
        <f ca="1">IF(ROW(I31)-ROW(L$5)&gt;MAX(RRE!$V$13:$V$24),"",INDEX(RRE!$J$13:$J$24,MATCH(ROW(I31)-ROW(I$5),RRE!$V$13:$V$24,0)))</f>
        <v/>
      </c>
      <c r="J31" s="596" t="str">
        <f ca="1">IF(I31="","",SUMIF(RRE!$J$13:$J$24,OFÍCIO!$I31,RRE!$L$13:$L$24))</f>
        <v/>
      </c>
      <c r="K31" s="596" t="str">
        <f ca="1">IF(J31="","",SUMIF(RRE!$J$13:$J$24,OFÍCIO!$I31,RRE!$N$13:$N$24))</f>
        <v/>
      </c>
      <c r="L31" s="597" t="str">
        <f ca="1">IF(K31="","",SUMIF(RRE!$J$13:$J$24,OFÍCIO!$I31,RRE!$O$13:$O$24))</f>
        <v/>
      </c>
    </row>
    <row r="32" spans="2:12">
      <c r="B32" s="837" t="s">
        <v>285</v>
      </c>
      <c r="C32" s="837"/>
      <c r="D32" s="516">
        <f ca="1">RRE!L27</f>
        <v>0</v>
      </c>
      <c r="E32" s="516">
        <f ca="1">RRE!N27</f>
        <v>0</v>
      </c>
      <c r="F32" s="838">
        <f ca="1">RRE!O27</f>
        <v>0</v>
      </c>
      <c r="G32" s="838"/>
      <c r="I32" s="595" t="str">
        <f ca="1">IF(ROW(I32)-ROW(L$5)&gt;MAX(RRE!$V$13:$V$24),"",INDEX(RRE!$J$13:$J$24,MATCH(ROW(I32)-ROW(I$5),RRE!$V$13:$V$24,0)))</f>
        <v/>
      </c>
      <c r="J32" s="596" t="str">
        <f ca="1">IF(I32="","",SUMIF(RRE!$J$13:$J$24,OFÍCIO!$I32,RRE!$L$13:$L$24))</f>
        <v/>
      </c>
      <c r="K32" s="596" t="str">
        <f ca="1">IF(J32="","",SUMIF(RRE!$J$13:$J$24,OFÍCIO!$I32,RRE!$N$13:$N$24))</f>
        <v/>
      </c>
      <c r="L32" s="597" t="str">
        <f ca="1">IF(K32="","",SUMIF(RRE!$J$13:$J$24,OFÍCIO!$I32,RRE!$O$13:$O$24))</f>
        <v/>
      </c>
    </row>
    <row r="33" spans="2:12">
      <c r="B33" s="837" t="s">
        <v>286</v>
      </c>
      <c r="C33" s="837"/>
      <c r="D33" s="516">
        <f ca="1">RRE!L28</f>
        <v>4133.84</v>
      </c>
      <c r="E33" s="516">
        <f ca="1">RRE!N28</f>
        <v>0</v>
      </c>
      <c r="F33" s="838">
        <f ca="1">RRE!O28</f>
        <v>0</v>
      </c>
      <c r="G33" s="838"/>
      <c r="I33" s="595" t="str">
        <f ca="1">IF(ROW(I33)-ROW(L$5)&gt;MAX(RRE!$V$13:$V$24),"",INDEX(RRE!$J$13:$J$24,MATCH(ROW(I33)-ROW(I$5),RRE!$V$13:$V$24,0)))</f>
        <v/>
      </c>
      <c r="J33" s="596" t="str">
        <f ca="1">IF(I33="","",SUMIF(RRE!$J$13:$J$24,OFÍCIO!$I33,RRE!$L$13:$L$24))</f>
        <v/>
      </c>
      <c r="K33" s="596" t="str">
        <f ca="1">IF(J33="","",SUMIF(RRE!$J$13:$J$24,OFÍCIO!$I33,RRE!$N$13:$N$24))</f>
        <v/>
      </c>
      <c r="L33" s="597" t="str">
        <f ca="1">IF(K33="","",SUMIF(RRE!$J$13:$J$24,OFÍCIO!$I33,RRE!$O$13:$O$24))</f>
        <v/>
      </c>
    </row>
    <row r="34" spans="2:12">
      <c r="B34" s="841" t="s">
        <v>398</v>
      </c>
      <c r="C34" s="841"/>
      <c r="D34" s="517" t="s">
        <v>166</v>
      </c>
      <c r="E34" s="518">
        <f ca="1">RRE!$N$28/(RRE!$L$28+10^-12)</f>
        <v>0</v>
      </c>
      <c r="F34" s="842">
        <f ca="1">RRE!P24</f>
        <v>0</v>
      </c>
      <c r="G34" s="842"/>
      <c r="I34" s="595" t="str">
        <f ca="1">IF(ROW(I34)-ROW(L$5)&gt;MAX(RRE!$V$13:$V$24),"",INDEX(RRE!$J$13:$J$24,MATCH(ROW(I34)-ROW(I$5),RRE!$V$13:$V$24,0)))</f>
        <v/>
      </c>
      <c r="J34" s="596" t="str">
        <f ca="1">IF(I34="","",SUMIF(RRE!$J$13:$J$24,OFÍCIO!$I34,RRE!$L$13:$L$24))</f>
        <v/>
      </c>
      <c r="K34" s="596" t="str">
        <f ca="1">IF(J34="","",SUMIF(RRE!$J$13:$J$24,OFÍCIO!$I34,RRE!$N$13:$N$24))</f>
        <v/>
      </c>
      <c r="L34" s="597" t="str">
        <f ca="1">IF(K34="","",SUMIF(RRE!$J$13:$J$24,OFÍCIO!$I34,RRE!$O$13:$O$24))</f>
        <v/>
      </c>
    </row>
    <row r="35" spans="2:12">
      <c r="B35" s="225"/>
      <c r="C35" s="61"/>
      <c r="D35" s="61"/>
      <c r="E35" s="61"/>
      <c r="F35" s="61"/>
      <c r="G35" s="61"/>
      <c r="I35" s="595" t="str">
        <f ca="1">IF(ROW(I35)-ROW(L$5)&gt;MAX(RRE!$V$13:$V$24),"",INDEX(RRE!$J$13:$J$24,MATCH(ROW(I35)-ROW(I$5),RRE!$V$13:$V$24,0)))</f>
        <v/>
      </c>
      <c r="J35" s="596" t="str">
        <f ca="1">IF(I35="","",SUMIF(RRE!$J$13:$J$24,OFÍCIO!$I35,RRE!$L$13:$L$24))</f>
        <v/>
      </c>
      <c r="K35" s="596" t="str">
        <f ca="1">IF(J35="","",SUMIF(RRE!$J$13:$J$24,OFÍCIO!$I35,RRE!$N$13:$N$24))</f>
        <v/>
      </c>
      <c r="L35" s="597" t="str">
        <f ca="1">IF(K35="","",SUMIF(RRE!$J$13:$J$24,OFÍCIO!$I35,RRE!$O$13:$O$24))</f>
        <v/>
      </c>
    </row>
    <row r="36" spans="2:12">
      <c r="B36" s="225"/>
      <c r="C36" s="225"/>
      <c r="D36" s="225"/>
      <c r="E36" s="225"/>
      <c r="F36" s="225"/>
      <c r="G36" s="61"/>
      <c r="I36" s="595" t="str">
        <f ca="1">IF(ROW(I36)-ROW(L$5)&gt;MAX(RRE!$V$13:$V$24),"",INDEX(RRE!$J$13:$J$24,MATCH(ROW(I36)-ROW(I$5),RRE!$V$13:$V$24,0)))</f>
        <v/>
      </c>
      <c r="J36" s="596" t="str">
        <f ca="1">IF(I36="","",SUMIF(RRE!$J$13:$J$24,OFÍCIO!$I36,RRE!$L$13:$L$24))</f>
        <v/>
      </c>
      <c r="K36" s="596" t="str">
        <f ca="1">IF(J36="","",SUMIF(RRE!$J$13:$J$24,OFÍCIO!$I36,RRE!$N$13:$N$24))</f>
        <v/>
      </c>
      <c r="L36" s="597" t="str">
        <f ca="1">IF(K36="","",SUMIF(RRE!$J$13:$J$24,OFÍCIO!$I36,RRE!$O$13:$O$24))</f>
        <v/>
      </c>
    </row>
    <row r="37" spans="2:12">
      <c r="B37" s="843" t="str">
        <f ca="1">IF(RRE.Numero&gt;1,"2. Encaminhamos ainda a documentação relativa à prestação de contas da etapa físico-financeira anterior.","")</f>
        <v/>
      </c>
      <c r="C37" s="843"/>
      <c r="D37" s="843"/>
      <c r="E37" s="843"/>
      <c r="F37" s="843"/>
      <c r="G37" s="843"/>
      <c r="I37" s="595" t="str">
        <f ca="1">IF(ROW(I37)-ROW(L$5)&gt;MAX(RRE!$V$13:$V$24),"",INDEX(RRE!$J$13:$J$24,MATCH(ROW(I37)-ROW(I$5),RRE!$V$13:$V$24,0)))</f>
        <v/>
      </c>
      <c r="J37" s="596" t="str">
        <f ca="1">IF(I37="","",SUMIF(RRE!$J$13:$J$24,OFÍCIO!$I37,RRE!$L$13:$L$24))</f>
        <v/>
      </c>
      <c r="K37" s="596" t="str">
        <f ca="1">IF(J37="","",SUMIF(RRE!$J$13:$J$24,OFÍCIO!$I37,RRE!$N$13:$N$24))</f>
        <v/>
      </c>
      <c r="L37" s="597" t="str">
        <f ca="1">IF(K37="","",SUMIF(RRE!$J$13:$J$24,OFÍCIO!$I37,RRE!$O$13:$O$24))</f>
        <v/>
      </c>
    </row>
    <row r="38" spans="2:12">
      <c r="B38" s="843"/>
      <c r="C38" s="843"/>
      <c r="D38" s="843"/>
      <c r="E38" s="843"/>
      <c r="F38" s="843"/>
      <c r="G38" s="843"/>
      <c r="I38" s="595" t="str">
        <f ca="1">IF(ROW(I38)-ROW(L$5)&gt;MAX(RRE!$V$13:$V$24),"",INDEX(RRE!$J$13:$J$24,MATCH(ROW(I38)-ROW(I$5),RRE!$V$13:$V$24,0)))</f>
        <v/>
      </c>
      <c r="J38" s="596" t="str">
        <f ca="1">IF(I38="","",SUMIF(RRE!$J$13:$J$24,OFÍCIO!$I38,RRE!$L$13:$L$24))</f>
        <v/>
      </c>
      <c r="K38" s="596" t="str">
        <f ca="1">IF(J38="","",SUMIF(RRE!$J$13:$J$24,OFÍCIO!$I38,RRE!$N$13:$N$24))</f>
        <v/>
      </c>
      <c r="L38" s="597" t="str">
        <f ca="1">IF(K38="","",SUMIF(RRE!$J$13:$J$24,OFÍCIO!$I38,RRE!$O$13:$O$24))</f>
        <v/>
      </c>
    </row>
    <row r="39" spans="2:12" ht="12.75" customHeight="1">
      <c r="B39" s="843" t="str">
        <f ca="1">IF(AND(RRE.Numero&gt;1,NOT(ISBLANK(Import.TransfereGOV))),"3. Na oportunidade, informamos que a execução financeira da parcela anterior está devidamente comprovada no TransfereGOV.","")</f>
        <v/>
      </c>
      <c r="C39" s="843"/>
      <c r="D39" s="843"/>
      <c r="E39" s="843"/>
      <c r="F39" s="843"/>
      <c r="G39" s="843"/>
      <c r="I39" s="595" t="str">
        <f ca="1">IF(ROW(I39)-ROW(L$5)&gt;MAX(RRE!$V$13:$V$24),"",INDEX(RRE!$J$13:$J$24,MATCH(ROW(I39)-ROW(I$5),RRE!$V$13:$V$24,0)))</f>
        <v/>
      </c>
      <c r="J39" s="596" t="str">
        <f ca="1">IF(I39="","",SUMIF(RRE!$J$13:$J$24,OFÍCIO!$I39,RRE!$L$13:$L$24))</f>
        <v/>
      </c>
      <c r="K39" s="596" t="str">
        <f ca="1">IF(J39="","",SUMIF(RRE!$J$13:$J$24,OFÍCIO!$I39,RRE!$N$13:$N$24))</f>
        <v/>
      </c>
      <c r="L39" s="597" t="str">
        <f ca="1">IF(K39="","",SUMIF(RRE!$J$13:$J$24,OFÍCIO!$I39,RRE!$O$13:$O$24))</f>
        <v/>
      </c>
    </row>
    <row r="40" spans="2:12">
      <c r="B40" s="843"/>
      <c r="C40" s="843"/>
      <c r="D40" s="843"/>
      <c r="E40" s="843"/>
      <c r="F40" s="843"/>
      <c r="G40" s="843"/>
      <c r="I40" s="595" t="str">
        <f ca="1">IF(ROW(I40)-ROW(L$5)&gt;MAX(RRE!$V$13:$V$24),"",INDEX(RRE!$J$13:$J$24,MATCH(ROW(I40)-ROW(I$5),RRE!$V$13:$V$24,0)))</f>
        <v/>
      </c>
      <c r="J40" s="596" t="str">
        <f ca="1">IF(I40="","",SUMIF(RRE!$J$13:$J$24,OFÍCIO!$I40,RRE!$L$13:$L$24))</f>
        <v/>
      </c>
      <c r="K40" s="596" t="str">
        <f ca="1">IF(J40="","",SUMIF(RRE!$J$13:$J$24,OFÍCIO!$I40,RRE!$N$13:$N$24))</f>
        <v/>
      </c>
      <c r="L40" s="597" t="str">
        <f ca="1">IF(K40="","",SUMIF(RRE!$J$13:$J$24,OFÍCIO!$I40,RRE!$O$13:$O$24))</f>
        <v/>
      </c>
    </row>
    <row r="41" spans="2:12">
      <c r="B41" s="519"/>
      <c r="C41" s="513"/>
      <c r="D41" s="513"/>
      <c r="E41" s="513"/>
      <c r="F41" s="513"/>
      <c r="G41" s="513"/>
      <c r="I41" s="595" t="str">
        <f ca="1">IF(ROW(I41)-ROW(L$5)&gt;MAX(RRE!$V$13:$V$24),"",INDEX(RRE!$J$13:$J$24,MATCH(ROW(I41)-ROW(I$5),RRE!$V$13:$V$24,0)))</f>
        <v/>
      </c>
      <c r="J41" s="596" t="str">
        <f ca="1">IF(I41="","",SUMIF(RRE!$J$13:$J$24,OFÍCIO!$I41,RRE!$L$13:$L$24))</f>
        <v/>
      </c>
      <c r="K41" s="596" t="str">
        <f ca="1">IF(J41="","",SUMIF(RRE!$J$13:$J$24,OFÍCIO!$I41,RRE!$N$13:$N$24))</f>
        <v/>
      </c>
      <c r="L41" s="597" t="str">
        <f ca="1">IF(K41="","",SUMIF(RRE!$J$13:$J$24,OFÍCIO!$I41,RRE!$O$13:$O$24))</f>
        <v/>
      </c>
    </row>
    <row r="42" spans="2:12" ht="12.75" customHeight="1">
      <c r="B42" s="843" t="str">
        <f ca="1">IF($B$37="",0,1)+IF($B$39="",0,1)+2&amp;". Informamos também a manutenção da Placa de Obra em local visível e de acordo com padrão estabelecido pela Presidência da República, constante do Manual Visual de Placas e Adesivos de Obra."</f>
        <v>2. Informamos também a manutenção da Placa de Obra em local visível e de acordo com padrão estabelecido pela Presidência da República, constante do Manual Visual de Placas e Adesivos de Obra.</v>
      </c>
      <c r="C42" s="843"/>
      <c r="D42" s="843"/>
      <c r="E42" s="843"/>
      <c r="F42" s="843"/>
      <c r="G42" s="843"/>
      <c r="I42" s="595" t="str">
        <f ca="1">IF(ROW(I42)-ROW(L$5)&gt;MAX(RRE!$V$13:$V$24),"",INDEX(RRE!$J$13:$J$24,MATCH(ROW(I42)-ROW(I$5),RRE!$V$13:$V$24,0)))</f>
        <v/>
      </c>
      <c r="J42" s="596" t="str">
        <f ca="1">IF(I42="","",SUMIF(RRE!$J$13:$J$24,OFÍCIO!$I42,RRE!$L$13:$L$24))</f>
        <v/>
      </c>
      <c r="K42" s="596" t="str">
        <f ca="1">IF(J42="","",SUMIF(RRE!$J$13:$J$24,OFÍCIO!$I42,RRE!$N$13:$N$24))</f>
        <v/>
      </c>
      <c r="L42" s="597" t="str">
        <f ca="1">IF(K42="","",SUMIF(RRE!$J$13:$J$24,OFÍCIO!$I42,RRE!$O$13:$O$24))</f>
        <v/>
      </c>
    </row>
    <row r="43" spans="2:12">
      <c r="B43" s="843"/>
      <c r="C43" s="843"/>
      <c r="D43" s="843"/>
      <c r="E43" s="843"/>
      <c r="F43" s="843"/>
      <c r="G43" s="843"/>
      <c r="I43" s="595" t="str">
        <f ca="1">IF(ROW(I43)-ROW(L$5)&gt;MAX(RRE!$V$13:$V$24),"",INDEX(RRE!$J$13:$J$24,MATCH(ROW(I43)-ROW(I$5),RRE!$V$13:$V$24,0)))</f>
        <v/>
      </c>
      <c r="J43" s="596" t="str">
        <f ca="1">IF(I43="","",SUMIF(RRE!$J$13:$J$24,OFÍCIO!$I43,RRE!$L$13:$L$24))</f>
        <v/>
      </c>
      <c r="K43" s="596" t="str">
        <f ca="1">IF(J43="","",SUMIF(RRE!$J$13:$J$24,OFÍCIO!$I43,RRE!$N$13:$N$24))</f>
        <v/>
      </c>
      <c r="L43" s="597" t="str">
        <f ca="1">IF(K43="","",SUMIF(RRE!$J$13:$J$24,OFÍCIO!$I43,RRE!$O$13:$O$24))</f>
        <v/>
      </c>
    </row>
    <row r="44" spans="2:12">
      <c r="B44" s="843"/>
      <c r="C44" s="843"/>
      <c r="D44" s="843"/>
      <c r="E44" s="843"/>
      <c r="F44" s="843"/>
      <c r="G44" s="843"/>
      <c r="I44" s="595" t="str">
        <f ca="1">IF(ROW(I44)-ROW(L$5)&gt;MAX(RRE!$V$13:$V$24),"",INDEX(RRE!$J$13:$J$24,MATCH(ROW(I44)-ROW(I$5),RRE!$V$13:$V$24,0)))</f>
        <v/>
      </c>
      <c r="J44" s="596" t="str">
        <f ca="1">IF(I44="","",SUMIF(RRE!$J$13:$J$24,OFÍCIO!$I44,RRE!$L$13:$L$24))</f>
        <v/>
      </c>
      <c r="K44" s="596" t="str">
        <f ca="1">IF(J44="","",SUMIF(RRE!$J$13:$J$24,OFÍCIO!$I44,RRE!$N$13:$N$24))</f>
        <v/>
      </c>
      <c r="L44" s="597" t="str">
        <f ca="1">IF(K44="","",SUMIF(RRE!$J$13:$J$24,OFÍCIO!$I44,RRE!$O$13:$O$24))</f>
        <v/>
      </c>
    </row>
    <row r="45" spans="2:12">
      <c r="B45" s="843"/>
      <c r="C45" s="843"/>
      <c r="D45" s="843"/>
      <c r="E45" s="843"/>
      <c r="F45" s="843"/>
      <c r="G45" s="843"/>
      <c r="I45" s="595" t="str">
        <f ca="1">IF(ROW(I45)-ROW(L$5)&gt;MAX(RRE!$V$13:$V$24),"",INDEX(RRE!$J$13:$J$24,MATCH(ROW(I45)-ROW(I$5),RRE!$V$13:$V$24,0)))</f>
        <v/>
      </c>
      <c r="J45" s="596" t="str">
        <f ca="1">IF(I45="","",SUMIF(RRE!$J$13:$J$24,OFÍCIO!$I45,RRE!$L$13:$L$24))</f>
        <v/>
      </c>
      <c r="K45" s="596" t="str">
        <f ca="1">IF(J45="","",SUMIF(RRE!$J$13:$J$24,OFÍCIO!$I45,RRE!$N$13:$N$24))</f>
        <v/>
      </c>
      <c r="L45" s="597" t="str">
        <f ca="1">IF(K45="","",SUMIF(RRE!$J$13:$J$24,OFÍCIO!$I45,RRE!$O$13:$O$24))</f>
        <v/>
      </c>
    </row>
    <row r="46" spans="2:12" ht="13.5" thickBot="1">
      <c r="B46" s="843"/>
      <c r="C46" s="843"/>
      <c r="D46" s="843"/>
      <c r="E46" s="843"/>
      <c r="F46" s="843"/>
      <c r="G46" s="843"/>
      <c r="I46" s="598" t="str">
        <f ca="1">IF(ROW(I46)-ROW(L$5)&gt;MAX(RRE!$V$13:$V$24),"",INDEX(RRE!$J$13:$J$24,MATCH(ROW(I46)-ROW(I$5),RRE!$V$13:$V$24,0)))</f>
        <v/>
      </c>
      <c r="J46" s="599" t="str">
        <f ca="1">IF(I46="","",SUMIF(RRE!$J$13:$J$24,OFÍCIO!$I46,RRE!$L$13:$L$24))</f>
        <v/>
      </c>
      <c r="K46" s="599" t="str">
        <f ca="1">IF(J46="","",SUMIF(RRE!$J$13:$J$24,OFÍCIO!$I46,RRE!$N$13:$N$24))</f>
        <v/>
      </c>
      <c r="L46" s="600" t="str">
        <f ca="1">IF(K46="","",SUMIF(RRE!$J$13:$J$24,OFÍCIO!$I46,RRE!$O$13:$O$24))</f>
        <v/>
      </c>
    </row>
    <row r="47" spans="2:12">
      <c r="B47" s="16"/>
      <c r="C47" s="16"/>
      <c r="D47" s="16"/>
      <c r="E47" s="16"/>
      <c r="F47" s="16"/>
      <c r="G47" s="357"/>
    </row>
    <row r="48" spans="2:12">
      <c r="B48" s="16"/>
      <c r="C48" s="16"/>
      <c r="D48" s="16"/>
      <c r="E48" s="16"/>
      <c r="F48" s="16"/>
      <c r="G48" s="357"/>
    </row>
    <row r="49" spans="2:7">
      <c r="B49" s="61" t="s">
        <v>399</v>
      </c>
      <c r="C49" s="16"/>
      <c r="D49" s="16"/>
      <c r="E49" s="16"/>
      <c r="F49" s="16"/>
      <c r="G49" s="357"/>
    </row>
    <row r="50" spans="2:7">
      <c r="B50" s="357"/>
      <c r="C50" s="357"/>
      <c r="D50" s="357"/>
      <c r="E50" s="357"/>
      <c r="F50" s="357"/>
      <c r="G50" s="357"/>
    </row>
    <row r="51" spans="2:7">
      <c r="B51" s="505"/>
      <c r="C51" s="61"/>
      <c r="D51" s="61"/>
      <c r="E51" s="61"/>
      <c r="F51" s="61"/>
      <c r="G51" s="61"/>
    </row>
    <row r="52" spans="2:7">
      <c r="B52" s="61"/>
      <c r="C52" s="61"/>
      <c r="D52" s="61"/>
      <c r="E52" s="61"/>
      <c r="F52" s="61"/>
      <c r="G52" s="61"/>
    </row>
    <row r="53" spans="2:7">
      <c r="B53" s="520"/>
      <c r="C53" s="520"/>
      <c r="D53" s="520"/>
      <c r="E53" s="521"/>
      <c r="F53" s="521"/>
      <c r="G53" s="521"/>
    </row>
    <row r="54" spans="2:7">
      <c r="B54" s="839" t="str">
        <f>DADOS!$F$28</f>
        <v>MARCO AURÉLIO RABELO GOMES</v>
      </c>
      <c r="C54" s="839"/>
      <c r="D54" s="839"/>
      <c r="E54" s="839"/>
      <c r="F54" s="839"/>
      <c r="G54" s="839"/>
    </row>
    <row r="55" spans="2:7">
      <c r="B55" s="839" t="str">
        <f>DADOS!$F$29</f>
        <v>PREFEITO MUNICIPAL</v>
      </c>
      <c r="C55" s="839"/>
      <c r="D55" s="839"/>
      <c r="E55" s="839"/>
      <c r="F55" s="839"/>
      <c r="G55" s="839"/>
    </row>
    <row r="56" spans="2:7">
      <c r="B56" s="840"/>
      <c r="C56" s="840"/>
      <c r="D56" s="840"/>
      <c r="E56" s="840"/>
      <c r="F56" s="840"/>
      <c r="G56" s="840"/>
    </row>
  </sheetData>
  <sheetProtection sheet="1" objects="1" scenarios="1" autoFilter="0"/>
  <mergeCells count="34">
    <mergeCell ref="B55:G56"/>
    <mergeCell ref="B33:C33"/>
    <mergeCell ref="F33:G33"/>
    <mergeCell ref="B34:C34"/>
    <mergeCell ref="F34:G34"/>
    <mergeCell ref="B37:G38"/>
    <mergeCell ref="B39:G40"/>
    <mergeCell ref="B42:G46"/>
    <mergeCell ref="B31:C31"/>
    <mergeCell ref="F31:G31"/>
    <mergeCell ref="B30:C30"/>
    <mergeCell ref="F30:G30"/>
    <mergeCell ref="B54:G54"/>
    <mergeCell ref="B32:C32"/>
    <mergeCell ref="F32:G32"/>
    <mergeCell ref="B24:G26"/>
    <mergeCell ref="B28:C29"/>
    <mergeCell ref="B19:B20"/>
    <mergeCell ref="C19:G20"/>
    <mergeCell ref="C11:D11"/>
    <mergeCell ref="C14:G14"/>
    <mergeCell ref="C15:G16"/>
    <mergeCell ref="C18:G18"/>
    <mergeCell ref="D28:D29"/>
    <mergeCell ref="E28:E29"/>
    <mergeCell ref="F28:G29"/>
    <mergeCell ref="L4:L5"/>
    <mergeCell ref="C6:D6"/>
    <mergeCell ref="B8:G8"/>
    <mergeCell ref="B10:D10"/>
    <mergeCell ref="B1:C4"/>
    <mergeCell ref="I4:I5"/>
    <mergeCell ref="J4:J5"/>
    <mergeCell ref="K4:K5"/>
  </mergeCells>
  <phoneticPr fontId="37" type="noConversion"/>
  <conditionalFormatting sqref="D30:D33 F30:G33">
    <cfRule type="cellIs" dxfId="0" priority="2" stopIfTrue="1" operator="notBetween">
      <formula>0</formula>
      <formula>D$33</formula>
    </cfRule>
  </conditionalFormatting>
  <dataValidations count="1">
    <dataValidation type="list" allowBlank="1" showErrorMessage="1" sqref="B11">
      <formula1>"GIGOV,SR"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97" firstPageNumber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143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18</vt:i4>
      </vt:variant>
    </vt:vector>
  </HeadingPairs>
  <TitlesOfParts>
    <vt:vector size="32" baseType="lpstr">
      <vt:lpstr>MENU</vt:lpstr>
      <vt:lpstr>DADOS</vt:lpstr>
      <vt:lpstr>NOVO</vt:lpstr>
      <vt:lpstr>BDI</vt:lpstr>
      <vt:lpstr>ORÇAMENTO</vt:lpstr>
      <vt:lpstr>CÁLCULO</vt:lpstr>
      <vt:lpstr>EVENTOS</vt:lpstr>
      <vt:lpstr>CRONO</vt:lpstr>
      <vt:lpstr>CRONOPLE</vt:lpstr>
      <vt:lpstr>PLE</vt:lpstr>
      <vt:lpstr>QCI</vt:lpstr>
      <vt:lpstr>BM</vt:lpstr>
      <vt:lpstr>RRE</vt:lpstr>
      <vt:lpstr>OFÍCIO</vt:lpstr>
      <vt:lpstr>BDI!Area_de_impressao</vt:lpstr>
      <vt:lpstr>BM!Area_de_impressao</vt:lpstr>
      <vt:lpstr>CÁLCULO!Area_de_impressao</vt:lpstr>
      <vt:lpstr>CRONO!Area_de_impressao</vt:lpstr>
      <vt:lpstr>MENU!Area_de_impressao</vt:lpstr>
      <vt:lpstr>OFÍCIO!Area_de_impressao</vt:lpstr>
      <vt:lpstr>ORÇAMENTO!Area_de_impressao</vt:lpstr>
      <vt:lpstr>PLE!Area_de_impressao</vt:lpstr>
      <vt:lpstr>QCI!Area_de_impressao</vt:lpstr>
      <vt:lpstr>RRE!Area_de_impressao</vt:lpstr>
      <vt:lpstr>BDI!Titulos_de_impressao</vt:lpstr>
      <vt:lpstr>BM!Titulos_de_impressao</vt:lpstr>
      <vt:lpstr>CÁLCULO!Titulos_de_impressao</vt:lpstr>
      <vt:lpstr>CRONO!Titulos_de_impressao</vt:lpstr>
      <vt:lpstr>ORÇAMENTO!Titulos_de_impressao</vt:lpstr>
      <vt:lpstr>PLE!Titulos_de_impressao</vt:lpstr>
      <vt:lpstr>QCI!Titulos_de_impressao</vt:lpstr>
      <vt:lpstr>RRE!Titulos_de_impressao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TREM BARATO</cp:lastModifiedBy>
  <cp:revision>5</cp:revision>
  <cp:lastPrinted>2024-11-11T18:27:49Z</cp:lastPrinted>
  <dcterms:created xsi:type="dcterms:W3CDTF">1997-01-10T22:22:50Z</dcterms:created>
  <dcterms:modified xsi:type="dcterms:W3CDTF">2024-11-13T12:55:11Z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2023-11-21T19:16:23Z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a35afa61-0e86-4f3f-84ac-6edb60dde1d6</vt:lpwstr>
  </property>
  <property fmtid="{D5CDD505-2E9C-101B-9397-08002B2CF9AE}" pid="8" name="MSIP_Label_fde7aacd-7cc4-4c31-9e6f-7ef306428f09_ContentBits">
    <vt:lpwstr>1</vt:lpwstr>
  </property>
</Properties>
</file>