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efaultThemeVersion="124226"/>
  <mc:AlternateContent xmlns:mc="http://schemas.openxmlformats.org/markup-compatibility/2006">
    <mc:Choice Requires="x15">
      <x15ac:absPath xmlns:x15ac="http://schemas.microsoft.com/office/spreadsheetml/2010/11/ac" url="D:\TECO\Desktop\SME\OBRAS\CONSTRUÇÃO NOVO PREDIO JOVE DA MATA\"/>
    </mc:Choice>
  </mc:AlternateContent>
  <xr:revisionPtr revIDLastSave="0" documentId="13_ncr:1_{84D8580F-F464-4700-B7E8-36EB8F634E1F}" xr6:coauthVersionLast="47" xr6:coauthVersionMax="47" xr10:uidLastSave="{00000000-0000-0000-0000-000000000000}"/>
  <bookViews>
    <workbookView xWindow="-120" yWindow="-120" windowWidth="20730" windowHeight="11040" tabRatio="735" xr2:uid="{00000000-000D-0000-FFFF-FFFF00000000}"/>
  </bookViews>
  <sheets>
    <sheet name="Planilha Orçamentária" sheetId="3" r:id="rId1"/>
    <sheet name="Cronograma Fisico Financeiro" sheetId="6" r:id="rId2"/>
    <sheet name="Composição BDI" sheetId="7" r:id="rId3"/>
  </sheets>
  <definedNames>
    <definedName name="_xlnm.Print_Area" localSheetId="2">'Composição BDI'!$B$1:$D$33</definedName>
    <definedName name="_xlnm.Print_Area" localSheetId="1">'Cronograma Fisico Financeiro'!$A$1:$P$35</definedName>
    <definedName name="_xlnm.Print_Area" localSheetId="0">'Planilha Orçamentária'!$A$1:$I$227</definedName>
    <definedName name="_xlnm.Print_Titles" localSheetId="0">'Planilha Orçamentária'!$1:$7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3" l="1"/>
  <c r="H11" i="3" s="1"/>
  <c r="I11" i="3" s="1"/>
  <c r="G183" i="3"/>
  <c r="E11" i="3"/>
  <c r="G56" i="3"/>
  <c r="G35" i="3"/>
  <c r="G181" i="3"/>
  <c r="G18" i="3" l="1"/>
  <c r="H18" i="3" s="1"/>
  <c r="G19" i="3" l="1"/>
  <c r="G17" i="3"/>
  <c r="H17" i="3" s="1"/>
  <c r="G43" i="3"/>
  <c r="G40" i="3"/>
  <c r="G39" i="3"/>
  <c r="G38" i="3" l="1"/>
  <c r="G37" i="3"/>
  <c r="G36" i="3"/>
  <c r="H43" i="3"/>
  <c r="H42" i="3"/>
  <c r="H41" i="3"/>
  <c r="H40" i="3"/>
  <c r="H39" i="3"/>
  <c r="G33" i="3"/>
  <c r="G29" i="3"/>
  <c r="H29" i="3" s="1"/>
  <c r="G30" i="3"/>
  <c r="H32" i="3"/>
  <c r="H31" i="3"/>
  <c r="G23" i="3" l="1"/>
  <c r="G135" i="3"/>
  <c r="H174" i="3" l="1"/>
  <c r="G141" i="3" l="1"/>
  <c r="G129" i="3"/>
  <c r="H129" i="3" s="1"/>
  <c r="G132" i="3"/>
  <c r="H132" i="3" s="1"/>
  <c r="H133" i="3"/>
  <c r="H135" i="3"/>
  <c r="G134" i="3"/>
  <c r="H134" i="3" s="1"/>
  <c r="G131" i="3"/>
  <c r="H131" i="3" s="1"/>
  <c r="G130" i="3"/>
  <c r="H130" i="3" s="1"/>
  <c r="G127" i="3"/>
  <c r="G128" i="3"/>
  <c r="H136" i="3"/>
  <c r="G73" i="3"/>
  <c r="G120" i="3"/>
  <c r="H120" i="3" s="1"/>
  <c r="H119" i="3"/>
  <c r="H118" i="3"/>
  <c r="H117" i="3"/>
  <c r="H116" i="3"/>
  <c r="H115" i="3"/>
  <c r="H114" i="3"/>
  <c r="H113" i="3"/>
  <c r="H112" i="3"/>
  <c r="H111" i="3"/>
  <c r="G110" i="3"/>
  <c r="H110" i="3" s="1"/>
  <c r="H109" i="3"/>
  <c r="H108" i="3"/>
  <c r="H107" i="3"/>
  <c r="H106" i="3"/>
  <c r="H105" i="3"/>
  <c r="H104" i="3"/>
  <c r="H103" i="3"/>
  <c r="H102" i="3"/>
  <c r="H101" i="3"/>
  <c r="H100" i="3"/>
  <c r="H99" i="3"/>
  <c r="H98" i="3"/>
  <c r="H97" i="3"/>
  <c r="H96" i="3"/>
  <c r="H95" i="3"/>
  <c r="H94" i="3"/>
  <c r="G93" i="3"/>
  <c r="H93" i="3" s="1"/>
  <c r="G92" i="3"/>
  <c r="H92" i="3" s="1"/>
  <c r="G91" i="3"/>
  <c r="H91" i="3" s="1"/>
  <c r="G90" i="3"/>
  <c r="H90" i="3" s="1"/>
  <c r="H89" i="3"/>
  <c r="H88" i="3"/>
  <c r="G87" i="3"/>
  <c r="H87" i="3" s="1"/>
  <c r="H86" i="3"/>
  <c r="H85" i="3"/>
  <c r="G50" i="3" l="1"/>
  <c r="H222" i="3" l="1"/>
  <c r="G78" i="3"/>
  <c r="H78" i="3" s="1"/>
  <c r="G214" i="3"/>
  <c r="G65" i="3"/>
  <c r="G178" i="3"/>
  <c r="G219" i="3"/>
  <c r="G212" i="3"/>
  <c r="G213" i="3" s="1"/>
  <c r="G211" i="3"/>
  <c r="G207" i="3"/>
  <c r="G203" i="3"/>
  <c r="G202" i="3"/>
  <c r="G201" i="3"/>
  <c r="G198" i="3"/>
  <c r="G197" i="3"/>
  <c r="G196" i="3"/>
  <c r="G195" i="3"/>
  <c r="G193" i="3"/>
  <c r="G191" i="3"/>
  <c r="G179" i="3" l="1"/>
  <c r="G180" i="3" s="1"/>
  <c r="G165" i="3"/>
  <c r="G152" i="3"/>
  <c r="G150" i="3"/>
  <c r="G75" i="3"/>
  <c r="H75" i="3" s="1"/>
  <c r="G74" i="3"/>
  <c r="H74" i="3" s="1"/>
  <c r="H72" i="3"/>
  <c r="G185" i="3"/>
  <c r="G162" i="3"/>
  <c r="G83" i="3"/>
  <c r="G80" i="3" l="1"/>
  <c r="G77" i="3"/>
  <c r="H73" i="3"/>
  <c r="G67" i="3" l="1"/>
  <c r="H67" i="3" s="1"/>
  <c r="H65" i="3"/>
  <c r="G66" i="3"/>
  <c r="G59" i="3"/>
  <c r="H59" i="3" s="1"/>
  <c r="G58" i="3"/>
  <c r="H58" i="3" s="1"/>
  <c r="G57" i="3"/>
  <c r="H57" i="3" s="1"/>
  <c r="G52" i="3"/>
  <c r="H52" i="3" s="1"/>
  <c r="G51" i="3"/>
  <c r="H51" i="3" s="1"/>
  <c r="H50" i="3"/>
  <c r="G48" i="3"/>
  <c r="H48" i="3" s="1"/>
  <c r="G46" i="3"/>
  <c r="H46" i="3" s="1"/>
  <c r="G45" i="3"/>
  <c r="G44" i="3"/>
  <c r="H44" i="3" s="1"/>
  <c r="H36" i="3"/>
  <c r="H35" i="3"/>
  <c r="H33" i="3"/>
  <c r="H38" i="3"/>
  <c r="H27" i="3"/>
  <c r="H26" i="3"/>
  <c r="H25" i="3"/>
  <c r="H24" i="3"/>
  <c r="H23" i="3"/>
  <c r="G20" i="3"/>
  <c r="H20" i="3" s="1"/>
  <c r="H19" i="3"/>
  <c r="G16" i="3"/>
  <c r="H16" i="3" s="1"/>
  <c r="G10" i="3"/>
  <c r="B33" i="7"/>
  <c r="B32" i="7"/>
  <c r="B25" i="7"/>
  <c r="B24" i="7"/>
  <c r="B23" i="7"/>
  <c r="H35" i="6"/>
  <c r="H34" i="6"/>
  <c r="H33" i="6"/>
  <c r="A35" i="6"/>
  <c r="A34" i="6"/>
  <c r="A33" i="6"/>
  <c r="H61" i="3"/>
  <c r="H62" i="3"/>
  <c r="H64" i="3"/>
  <c r="H71" i="3"/>
  <c r="H122" i="3"/>
  <c r="H123" i="3"/>
  <c r="H124" i="3"/>
  <c r="H125" i="3"/>
  <c r="H128" i="3"/>
  <c r="H137" i="3"/>
  <c r="H140" i="3"/>
  <c r="H141" i="3"/>
  <c r="H142" i="3"/>
  <c r="H143" i="3"/>
  <c r="H144" i="3"/>
  <c r="H145" i="3"/>
  <c r="H146" i="3"/>
  <c r="H147" i="3"/>
  <c r="H148" i="3"/>
  <c r="H154" i="3"/>
  <c r="H167" i="3"/>
  <c r="H168" i="3"/>
  <c r="H169" i="3"/>
  <c r="H170" i="3"/>
  <c r="H171" i="3"/>
  <c r="H172" i="3"/>
  <c r="H173" i="3"/>
  <c r="H175" i="3"/>
  <c r="H176" i="3"/>
  <c r="H187" i="3"/>
  <c r="H188" i="3"/>
  <c r="H200" i="3"/>
  <c r="H204" i="3"/>
  <c r="H205" i="3"/>
  <c r="H206" i="3"/>
  <c r="H212" i="3"/>
  <c r="H216" i="3"/>
  <c r="H218" i="3"/>
  <c r="H221" i="3"/>
  <c r="H219" i="3"/>
  <c r="H214" i="3"/>
  <c r="H213" i="3"/>
  <c r="H211" i="3"/>
  <c r="G208" i="3"/>
  <c r="H207" i="3"/>
  <c r="H203" i="3"/>
  <c r="H202" i="3"/>
  <c r="H201" i="3"/>
  <c r="H198" i="3"/>
  <c r="H197" i="3"/>
  <c r="H196" i="3"/>
  <c r="H195" i="3"/>
  <c r="H193" i="3"/>
  <c r="H185" i="3"/>
  <c r="G184" i="3"/>
  <c r="H184" i="3" s="1"/>
  <c r="H181" i="3"/>
  <c r="H180" i="3"/>
  <c r="H178" i="3"/>
  <c r="H165" i="3"/>
  <c r="H162" i="3"/>
  <c r="H153" i="3"/>
  <c r="H152" i="3"/>
  <c r="G151" i="3"/>
  <c r="H151" i="3" s="1"/>
  <c r="G139" i="3"/>
  <c r="H139" i="3" s="1"/>
  <c r="G138" i="3"/>
  <c r="H138" i="3" s="1"/>
  <c r="H127" i="3"/>
  <c r="H83" i="3"/>
  <c r="H77" i="3"/>
  <c r="H76" i="3"/>
  <c r="H70" i="3"/>
  <c r="G63" i="3"/>
  <c r="H63" i="3" s="1"/>
  <c r="G14" i="3"/>
  <c r="H14" i="3" s="1"/>
  <c r="G13" i="3"/>
  <c r="H13" i="3" s="1"/>
  <c r="G12" i="3"/>
  <c r="H12" i="3" s="1"/>
  <c r="G9" i="3"/>
  <c r="H9" i="3" s="1"/>
  <c r="A25" i="6"/>
  <c r="A23" i="6"/>
  <c r="A22" i="6"/>
  <c r="A21" i="6"/>
  <c r="A15" i="6"/>
  <c r="A13" i="6"/>
  <c r="G55" i="3" l="1"/>
  <c r="G54" i="3"/>
  <c r="G81" i="3"/>
  <c r="H81" i="3" s="1"/>
  <c r="H45" i="3"/>
  <c r="G209" i="3"/>
  <c r="G210" i="3" s="1"/>
  <c r="H210" i="3" s="1"/>
  <c r="H56" i="3"/>
  <c r="G47" i="3"/>
  <c r="H47" i="3" s="1"/>
  <c r="H80" i="3"/>
  <c r="H209" i="3"/>
  <c r="H179" i="3"/>
  <c r="H10" i="3"/>
  <c r="G69" i="3"/>
  <c r="H69" i="3" s="1"/>
  <c r="H150" i="3"/>
  <c r="G163" i="3"/>
  <c r="H163" i="3" s="1"/>
  <c r="G192" i="3"/>
  <c r="H192" i="3" s="1"/>
  <c r="H191" i="3"/>
  <c r="G161" i="3"/>
  <c r="H161" i="3" s="1"/>
  <c r="H66" i="3"/>
  <c r="H208" i="3"/>
  <c r="H183" i="3"/>
  <c r="G21" i="3"/>
  <c r="H21" i="3" s="1"/>
  <c r="H30" i="3"/>
  <c r="H28" i="3"/>
  <c r="H37" i="3"/>
  <c r="G157" i="3"/>
  <c r="H157" i="3" s="1"/>
  <c r="G82" i="3" l="1"/>
  <c r="H82" i="3" s="1"/>
  <c r="G156" i="3"/>
  <c r="H156" i="3" s="1"/>
  <c r="H55" i="3"/>
  <c r="H54" i="3"/>
  <c r="G160" i="3"/>
  <c r="H160" i="3" s="1"/>
  <c r="G159" i="3" l="1"/>
  <c r="H159" i="3" s="1"/>
  <c r="G158" i="3"/>
  <c r="H158" i="3" s="1"/>
  <c r="A24" i="6"/>
  <c r="A20" i="6"/>
  <c r="A19" i="6"/>
  <c r="A18" i="6"/>
  <c r="A17" i="6"/>
  <c r="A16" i="6"/>
  <c r="A14" i="6"/>
  <c r="A12" i="6"/>
  <c r="A11" i="6"/>
  <c r="A10" i="6"/>
  <c r="A9" i="6"/>
  <c r="A8" i="6"/>
  <c r="A7" i="6"/>
  <c r="A6" i="6"/>
  <c r="A5" i="6"/>
  <c r="A4" i="6"/>
  <c r="A3" i="6"/>
  <c r="D11" i="7" l="1"/>
  <c r="F3" i="3" s="1"/>
  <c r="E171" i="3" l="1"/>
  <c r="E17" i="3"/>
  <c r="I17" i="3" s="1"/>
  <c r="E18" i="3"/>
  <c r="I18" i="3" s="1"/>
  <c r="E13" i="3"/>
  <c r="I13" i="3" s="1"/>
  <c r="E33" i="3"/>
  <c r="E32" i="3"/>
  <c r="I32" i="3" s="1"/>
  <c r="E42" i="3"/>
  <c r="I42" i="3" s="1"/>
  <c r="E39" i="3"/>
  <c r="I39" i="3" s="1"/>
  <c r="E40" i="3"/>
  <c r="I40" i="3" s="1"/>
  <c r="E43" i="3"/>
  <c r="I43" i="3" s="1"/>
  <c r="E41" i="3"/>
  <c r="I41" i="3" s="1"/>
  <c r="E31" i="3"/>
  <c r="I31" i="3" s="1"/>
  <c r="E29" i="3"/>
  <c r="I29" i="3" s="1"/>
  <c r="E129" i="3"/>
  <c r="I129" i="3" s="1"/>
  <c r="E174" i="3"/>
  <c r="I174" i="3" s="1"/>
  <c r="E135" i="3"/>
  <c r="I135" i="3" s="1"/>
  <c r="E133" i="3"/>
  <c r="I133" i="3" s="1"/>
  <c r="E132" i="3"/>
  <c r="I132" i="3" s="1"/>
  <c r="E136" i="3"/>
  <c r="I136" i="3" s="1"/>
  <c r="E134" i="3"/>
  <c r="I134" i="3" s="1"/>
  <c r="E130" i="3"/>
  <c r="I130" i="3" s="1"/>
  <c r="E131" i="3"/>
  <c r="I131" i="3" s="1"/>
  <c r="E113" i="3"/>
  <c r="I113" i="3" s="1"/>
  <c r="E111" i="3"/>
  <c r="I111" i="3" s="1"/>
  <c r="E104" i="3"/>
  <c r="I104" i="3" s="1"/>
  <c r="E102" i="3"/>
  <c r="I102" i="3" s="1"/>
  <c r="E97" i="3"/>
  <c r="I97" i="3" s="1"/>
  <c r="E95" i="3"/>
  <c r="I95" i="3" s="1"/>
  <c r="E93" i="3"/>
  <c r="I93" i="3" s="1"/>
  <c r="E91" i="3"/>
  <c r="I91" i="3" s="1"/>
  <c r="E115" i="3"/>
  <c r="I115" i="3" s="1"/>
  <c r="E106" i="3"/>
  <c r="I106" i="3" s="1"/>
  <c r="E101" i="3"/>
  <c r="I101" i="3" s="1"/>
  <c r="E99" i="3"/>
  <c r="I99" i="3" s="1"/>
  <c r="E86" i="3"/>
  <c r="I86" i="3" s="1"/>
  <c r="E120" i="3"/>
  <c r="I120" i="3" s="1"/>
  <c r="E118" i="3"/>
  <c r="I118" i="3" s="1"/>
  <c r="E116" i="3"/>
  <c r="I116" i="3" s="1"/>
  <c r="E109" i="3"/>
  <c r="I109" i="3" s="1"/>
  <c r="E107" i="3"/>
  <c r="I107" i="3" s="1"/>
  <c r="E100" i="3"/>
  <c r="I100" i="3" s="1"/>
  <c r="E98" i="3"/>
  <c r="I98" i="3" s="1"/>
  <c r="E89" i="3"/>
  <c r="I89" i="3" s="1"/>
  <c r="E87" i="3"/>
  <c r="I87" i="3" s="1"/>
  <c r="E85" i="3"/>
  <c r="I85" i="3" s="1"/>
  <c r="E117" i="3"/>
  <c r="I117" i="3" s="1"/>
  <c r="E88" i="3"/>
  <c r="I88" i="3" s="1"/>
  <c r="E114" i="3"/>
  <c r="I114" i="3" s="1"/>
  <c r="E112" i="3"/>
  <c r="I112" i="3" s="1"/>
  <c r="E110" i="3"/>
  <c r="I110" i="3" s="1"/>
  <c r="E105" i="3"/>
  <c r="I105" i="3" s="1"/>
  <c r="E103" i="3"/>
  <c r="I103" i="3" s="1"/>
  <c r="E96" i="3"/>
  <c r="I96" i="3" s="1"/>
  <c r="E94" i="3"/>
  <c r="I94" i="3" s="1"/>
  <c r="E92" i="3"/>
  <c r="I92" i="3" s="1"/>
  <c r="E90" i="3"/>
  <c r="I90" i="3" s="1"/>
  <c r="E119" i="3"/>
  <c r="I119" i="3" s="1"/>
  <c r="E108" i="3"/>
  <c r="I108" i="3" s="1"/>
  <c r="E78" i="3"/>
  <c r="I78" i="3" s="1"/>
  <c r="E222" i="3"/>
  <c r="I222" i="3" s="1"/>
  <c r="E75" i="3"/>
  <c r="I75" i="3" s="1"/>
  <c r="E72" i="3"/>
  <c r="I72" i="3" s="1"/>
  <c r="E74" i="3"/>
  <c r="I74" i="3" s="1"/>
  <c r="E73" i="3"/>
  <c r="I73" i="3" s="1"/>
  <c r="E77" i="3"/>
  <c r="I77" i="3" s="1"/>
  <c r="E9" i="3"/>
  <c r="I9" i="3" s="1"/>
  <c r="E148" i="3"/>
  <c r="I148" i="3" s="1"/>
  <c r="E67" i="3"/>
  <c r="I67" i="3" s="1"/>
  <c r="E147" i="3"/>
  <c r="I147" i="3" s="1"/>
  <c r="E163" i="3"/>
  <c r="I163" i="3" s="1"/>
  <c r="E64" i="3"/>
  <c r="I64" i="3" s="1"/>
  <c r="E162" i="3"/>
  <c r="I162" i="3" s="1"/>
  <c r="E219" i="3"/>
  <c r="I219" i="3" s="1"/>
  <c r="E214" i="3"/>
  <c r="I214" i="3" s="1"/>
  <c r="E198" i="3"/>
  <c r="I198" i="3" s="1"/>
  <c r="E151" i="3"/>
  <c r="I151" i="3" s="1"/>
  <c r="E204" i="3"/>
  <c r="I204" i="3" s="1"/>
  <c r="E205" i="3"/>
  <c r="I205" i="3" s="1"/>
  <c r="E206" i="3"/>
  <c r="I206" i="3" s="1"/>
  <c r="E153" i="3"/>
  <c r="I153" i="3" s="1"/>
  <c r="E154" i="3"/>
  <c r="I154" i="3" s="1"/>
  <c r="E150" i="3"/>
  <c r="I150" i="3" s="1"/>
  <c r="E152" i="3"/>
  <c r="I152" i="3" s="1"/>
  <c r="E76" i="3"/>
  <c r="I76" i="3" s="1"/>
  <c r="E44" i="3"/>
  <c r="I44" i="3" s="1"/>
  <c r="E201" i="3"/>
  <c r="I201" i="3" s="1"/>
  <c r="E207" i="3"/>
  <c r="I207" i="3" s="1"/>
  <c r="E211" i="3"/>
  <c r="I211" i="3" s="1"/>
  <c r="E196" i="3"/>
  <c r="I196" i="3" s="1"/>
  <c r="E191" i="3"/>
  <c r="I191" i="3" s="1"/>
  <c r="E209" i="3"/>
  <c r="I209" i="3" s="1"/>
  <c r="E197" i="3"/>
  <c r="I197" i="3" s="1"/>
  <c r="E210" i="3"/>
  <c r="I210" i="3" s="1"/>
  <c r="E195" i="3"/>
  <c r="I195" i="3" s="1"/>
  <c r="E202" i="3"/>
  <c r="I202" i="3" s="1"/>
  <c r="E208" i="3"/>
  <c r="I208" i="3" s="1"/>
  <c r="E212" i="3"/>
  <c r="I212" i="3" s="1"/>
  <c r="E203" i="3"/>
  <c r="I203" i="3" s="1"/>
  <c r="E213" i="3"/>
  <c r="I213" i="3" s="1"/>
  <c r="E192" i="3"/>
  <c r="I192" i="3" s="1"/>
  <c r="E200" i="3"/>
  <c r="I200" i="3" s="1"/>
  <c r="E193" i="3"/>
  <c r="I193" i="3" s="1"/>
  <c r="E216" i="3"/>
  <c r="E56" i="3"/>
  <c r="I56" i="3" s="1"/>
  <c r="E51" i="3"/>
  <c r="I51" i="3" s="1"/>
  <c r="E122" i="3"/>
  <c r="I122" i="3" s="1"/>
  <c r="E125" i="3"/>
  <c r="I125" i="3" s="1"/>
  <c r="E124" i="3"/>
  <c r="I124" i="3" s="1"/>
  <c r="E123" i="3"/>
  <c r="I123" i="3" s="1"/>
  <c r="E176" i="3"/>
  <c r="I176" i="3" s="1"/>
  <c r="E59" i="3"/>
  <c r="I59" i="3" s="1"/>
  <c r="E181" i="3"/>
  <c r="I181" i="3" s="1"/>
  <c r="E175" i="3"/>
  <c r="I175" i="3" s="1"/>
  <c r="E188" i="3"/>
  <c r="I188" i="3" s="1"/>
  <c r="E187" i="3"/>
  <c r="I187" i="3" s="1"/>
  <c r="E185" i="3"/>
  <c r="I185" i="3" s="1"/>
  <c r="E180" i="3"/>
  <c r="I180" i="3" s="1"/>
  <c r="E179" i="3"/>
  <c r="I179" i="3" s="1"/>
  <c r="E19" i="3"/>
  <c r="I19" i="3" s="1"/>
  <c r="E61" i="3"/>
  <c r="I61" i="3" s="1"/>
  <c r="E80" i="3"/>
  <c r="I80" i="3" s="1"/>
  <c r="E142" i="3"/>
  <c r="I142" i="3" s="1"/>
  <c r="E161" i="3"/>
  <c r="I161" i="3" s="1"/>
  <c r="E12" i="3"/>
  <c r="I12" i="3" s="1"/>
  <c r="E24" i="3"/>
  <c r="I24" i="3" s="1"/>
  <c r="E28" i="3"/>
  <c r="I28" i="3" s="1"/>
  <c r="E36" i="3"/>
  <c r="I36" i="3" s="1"/>
  <c r="E38" i="3"/>
  <c r="I38" i="3" s="1"/>
  <c r="E46" i="3"/>
  <c r="I46" i="3" s="1"/>
  <c r="E48" i="3"/>
  <c r="I48" i="3" s="1"/>
  <c r="E55" i="3"/>
  <c r="I55" i="3" s="1"/>
  <c r="E83" i="3"/>
  <c r="I83" i="3" s="1"/>
  <c r="E137" i="3"/>
  <c r="I137" i="3" s="1"/>
  <c r="E146" i="3"/>
  <c r="I146" i="3" s="1"/>
  <c r="E168" i="3"/>
  <c r="I168" i="3" s="1"/>
  <c r="E70" i="3"/>
  <c r="I70" i="3" s="1"/>
  <c r="E139" i="3"/>
  <c r="I139" i="3" s="1"/>
  <c r="E158" i="3"/>
  <c r="I158" i="3" s="1"/>
  <c r="E183" i="3"/>
  <c r="I183" i="3" s="1"/>
  <c r="E218" i="3"/>
  <c r="E81" i="3"/>
  <c r="I81" i="3" s="1"/>
  <c r="E57" i="3"/>
  <c r="I57" i="3" s="1"/>
  <c r="E178" i="3"/>
  <c r="I178" i="3" s="1"/>
  <c r="E138" i="3"/>
  <c r="I138" i="3" s="1"/>
  <c r="E58" i="3"/>
  <c r="I58" i="3" s="1"/>
  <c r="E37" i="3"/>
  <c r="I37" i="3" s="1"/>
  <c r="E16" i="3"/>
  <c r="I16" i="3" s="1"/>
  <c r="I171" i="3"/>
  <c r="E165" i="3"/>
  <c r="I165" i="3" s="1"/>
  <c r="I164" i="3" s="1"/>
  <c r="E140" i="3"/>
  <c r="I140" i="3" s="1"/>
  <c r="E63" i="3"/>
  <c r="I63" i="3" s="1"/>
  <c r="E21" i="3"/>
  <c r="I21" i="3" s="1"/>
  <c r="E71" i="3"/>
  <c r="I71" i="3" s="1"/>
  <c r="E50" i="3"/>
  <c r="I50" i="3" s="1"/>
  <c r="E30" i="3"/>
  <c r="I30" i="3" s="1"/>
  <c r="E167" i="3"/>
  <c r="I167" i="3" s="1"/>
  <c r="E128" i="3"/>
  <c r="I128" i="3" s="1"/>
  <c r="E54" i="3"/>
  <c r="I54" i="3" s="1"/>
  <c r="E35" i="3"/>
  <c r="I35" i="3" s="1"/>
  <c r="E10" i="3"/>
  <c r="I10" i="3" s="1"/>
  <c r="E173" i="3"/>
  <c r="I173" i="3" s="1"/>
  <c r="E159" i="3"/>
  <c r="I159" i="3" s="1"/>
  <c r="E82" i="3"/>
  <c r="I82" i="3" s="1"/>
  <c r="E14" i="3"/>
  <c r="I14" i="3" s="1"/>
  <c r="E62" i="3"/>
  <c r="I62" i="3" s="1"/>
  <c r="E20" i="3"/>
  <c r="I20" i="3" s="1"/>
  <c r="E141" i="3"/>
  <c r="I141" i="3" s="1"/>
  <c r="E45" i="3"/>
  <c r="I45" i="3" s="1"/>
  <c r="E145" i="3"/>
  <c r="I145" i="3" s="1"/>
  <c r="E170" i="3"/>
  <c r="I170" i="3" s="1"/>
  <c r="E66" i="3"/>
  <c r="I66" i="3" s="1"/>
  <c r="E169" i="3"/>
  <c r="I169" i="3" s="1"/>
  <c r="E143" i="3"/>
  <c r="I143" i="3" s="1"/>
  <c r="E25" i="3"/>
  <c r="I25" i="3" s="1"/>
  <c r="E157" i="3"/>
  <c r="I157" i="3" s="1"/>
  <c r="E127" i="3"/>
  <c r="I127" i="3" s="1"/>
  <c r="E69" i="3"/>
  <c r="I69" i="3" s="1"/>
  <c r="E27" i="3"/>
  <c r="I27" i="3" s="1"/>
  <c r="E221" i="3"/>
  <c r="I221" i="3" s="1"/>
  <c r="E184" i="3"/>
  <c r="I184" i="3" s="1"/>
  <c r="E160" i="3"/>
  <c r="I160" i="3" s="1"/>
  <c r="E172" i="3"/>
  <c r="I172" i="3" s="1"/>
  <c r="E156" i="3"/>
  <c r="I156" i="3" s="1"/>
  <c r="E52" i="3"/>
  <c r="I52" i="3" s="1"/>
  <c r="I33" i="3"/>
  <c r="E65" i="3"/>
  <c r="I65" i="3" s="1"/>
  <c r="E23" i="3"/>
  <c r="I23" i="3" s="1"/>
  <c r="E144" i="3"/>
  <c r="I144" i="3" s="1"/>
  <c r="E47" i="3"/>
  <c r="I47" i="3" s="1"/>
  <c r="E26" i="3"/>
  <c r="I26" i="3" s="1"/>
  <c r="I216" i="3" l="1"/>
  <c r="I215" i="3" s="1"/>
  <c r="C23" i="6" s="1"/>
  <c r="D23" i="6" s="1"/>
  <c r="P23" i="6" s="1"/>
  <c r="I218" i="3"/>
  <c r="I217" i="3" s="1"/>
  <c r="C24" i="6" s="1"/>
  <c r="I34" i="3"/>
  <c r="C6" i="6" s="1"/>
  <c r="I22" i="3"/>
  <c r="C5" i="6" s="1"/>
  <c r="I68" i="3"/>
  <c r="C10" i="6" s="1"/>
  <c r="I220" i="3"/>
  <c r="C25" i="6" s="1"/>
  <c r="O25" i="6" s="1"/>
  <c r="P25" i="6" s="1"/>
  <c r="I177" i="3"/>
  <c r="C19" i="6" s="1"/>
  <c r="M19" i="6" s="1"/>
  <c r="P19" i="6" s="1"/>
  <c r="I194" i="3"/>
  <c r="I149" i="3"/>
  <c r="C15" i="6" s="1"/>
  <c r="F15" i="6" s="1"/>
  <c r="I60" i="3"/>
  <c r="C9" i="6" s="1"/>
  <c r="I199" i="3"/>
  <c r="I8" i="3"/>
  <c r="I155" i="3"/>
  <c r="C16" i="6" s="1"/>
  <c r="I53" i="3"/>
  <c r="C8" i="6" s="1"/>
  <c r="I49" i="3"/>
  <c r="I15" i="3"/>
  <c r="C4" i="6" s="1"/>
  <c r="E4" i="6" s="1"/>
  <c r="I182" i="3"/>
  <c r="C20" i="6" s="1"/>
  <c r="I186" i="3"/>
  <c r="C21" i="6" s="1"/>
  <c r="J21" i="6" s="1"/>
  <c r="P21" i="6" s="1"/>
  <c r="I84" i="3"/>
  <c r="I121" i="3"/>
  <c r="C13" i="6" s="1"/>
  <c r="O13" i="6" s="1"/>
  <c r="P13" i="6" s="1"/>
  <c r="I166" i="3"/>
  <c r="C18" i="6" s="1"/>
  <c r="I79" i="3"/>
  <c r="C11" i="6" s="1"/>
  <c r="I190" i="3"/>
  <c r="I126" i="3"/>
  <c r="C14" i="6" s="1"/>
  <c r="C17" i="6"/>
  <c r="M17" i="6" s="1"/>
  <c r="P17" i="6" s="1"/>
  <c r="C12" i="6" l="1"/>
  <c r="K12" i="6" s="1"/>
  <c r="P12" i="6" s="1"/>
  <c r="E15" i="6"/>
  <c r="P15" i="6" s="1"/>
  <c r="C7" i="6"/>
  <c r="H7" i="6" s="1"/>
  <c r="C3" i="6"/>
  <c r="K11" i="6"/>
  <c r="J11" i="6"/>
  <c r="E5" i="6"/>
  <c r="P5" i="6" s="1"/>
  <c r="L14" i="6"/>
  <c r="O24" i="6"/>
  <c r="P24" i="6" s="1"/>
  <c r="I8" i="6"/>
  <c r="H8" i="6"/>
  <c r="O20" i="6"/>
  <c r="E20" i="6"/>
  <c r="D20" i="6"/>
  <c r="I9" i="6"/>
  <c r="P9" i="6" s="1"/>
  <c r="M16" i="6"/>
  <c r="L16" i="6"/>
  <c r="J10" i="6"/>
  <c r="I10" i="6"/>
  <c r="G6" i="6"/>
  <c r="F6" i="6"/>
  <c r="M18" i="6"/>
  <c r="P18" i="6" s="1"/>
  <c r="E26" i="6" l="1"/>
  <c r="D3" i="6"/>
  <c r="P8" i="6"/>
  <c r="P16" i="6"/>
  <c r="P6" i="6"/>
  <c r="P14" i="6"/>
  <c r="P4" i="6"/>
  <c r="P20" i="6"/>
  <c r="P7" i="6"/>
  <c r="P10" i="6"/>
  <c r="P11" i="6"/>
  <c r="P3" i="6" l="1"/>
  <c r="D26" i="6"/>
  <c r="D29" i="6" s="1"/>
  <c r="E29" i="6" s="1"/>
  <c r="I189" i="3"/>
  <c r="C22" i="6" s="1"/>
  <c r="I223" i="3" l="1"/>
  <c r="L22" i="6"/>
  <c r="L26" i="6" s="1"/>
  <c r="J22" i="6"/>
  <c r="J26" i="6" s="1"/>
  <c r="M22" i="6"/>
  <c r="M26" i="6" s="1"/>
  <c r="F22" i="6"/>
  <c r="F26" i="6" s="1"/>
  <c r="F29" i="6" s="1"/>
  <c r="I22" i="6"/>
  <c r="I26" i="6" s="1"/>
  <c r="N22" i="6"/>
  <c r="N26" i="6" s="1"/>
  <c r="C26" i="6"/>
  <c r="O22" i="6"/>
  <c r="O26" i="6" s="1"/>
  <c r="G22" i="6"/>
  <c r="H22" i="6"/>
  <c r="H26" i="6" s="1"/>
  <c r="K22" i="6"/>
  <c r="K26" i="6" s="1"/>
  <c r="L27" i="6" l="1"/>
  <c r="K27" i="6"/>
  <c r="H27" i="6"/>
  <c r="O27" i="6"/>
  <c r="I27" i="6"/>
  <c r="B16" i="6"/>
  <c r="B17" i="6"/>
  <c r="B4" i="6"/>
  <c r="B9" i="6"/>
  <c r="B24" i="6"/>
  <c r="B18" i="6"/>
  <c r="B14" i="6"/>
  <c r="B13" i="6"/>
  <c r="B23" i="6"/>
  <c r="B10" i="6"/>
  <c r="B3" i="6"/>
  <c r="D27" i="6"/>
  <c r="B25" i="6"/>
  <c r="B20" i="6"/>
  <c r="B6" i="6"/>
  <c r="B5" i="6"/>
  <c r="B15" i="6"/>
  <c r="B7" i="6"/>
  <c r="B19" i="6"/>
  <c r="B12" i="6"/>
  <c r="B21" i="6"/>
  <c r="B11" i="6"/>
  <c r="E27" i="6"/>
  <c r="B8" i="6"/>
  <c r="B22" i="6"/>
  <c r="N27" i="6"/>
  <c r="J27" i="6"/>
  <c r="G26" i="6"/>
  <c r="G27" i="6" s="1"/>
  <c r="P22" i="6"/>
  <c r="P26" i="6" s="1"/>
  <c r="F27" i="6"/>
  <c r="M27" i="6"/>
  <c r="G29" i="6" l="1"/>
  <c r="H29" i="6" s="1"/>
  <c r="I29" i="6" s="1"/>
  <c r="J29" i="6" s="1"/>
  <c r="K29" i="6" s="1"/>
  <c r="L29" i="6" s="1"/>
  <c r="M29" i="6" s="1"/>
  <c r="N29" i="6" s="1"/>
  <c r="O29" i="6" s="1"/>
  <c r="P29" i="6" s="1"/>
  <c r="B26" i="6"/>
  <c r="D28" i="6"/>
  <c r="E28" i="6" s="1"/>
  <c r="F28" i="6" s="1"/>
  <c r="G28" i="6" s="1"/>
  <c r="H28" i="6" s="1"/>
  <c r="I28" i="6" s="1"/>
  <c r="J28" i="6" s="1"/>
  <c r="K28" i="6" s="1"/>
  <c r="L28" i="6" s="1"/>
  <c r="M28" i="6" s="1"/>
  <c r="N28" i="6" s="1"/>
  <c r="O28" i="6" s="1"/>
  <c r="P28" i="6" s="1"/>
  <c r="P27" i="6"/>
</calcChain>
</file>

<file path=xl/sharedStrings.xml><?xml version="1.0" encoding="utf-8"?>
<sst xmlns="http://schemas.openxmlformats.org/spreadsheetml/2006/main" count="854" uniqueCount="647">
  <si>
    <t>Descriçao do item</t>
  </si>
  <si>
    <t>Quantidade</t>
  </si>
  <si>
    <t>Unidade</t>
  </si>
  <si>
    <t xml:space="preserve">Prefeitura Municipal de Januária </t>
  </si>
  <si>
    <t>BDI=</t>
  </si>
  <si>
    <t>DESCRIÇÃO</t>
  </si>
  <si>
    <t>FÍSICO</t>
  </si>
  <si>
    <t>FINANCEIRO</t>
  </si>
  <si>
    <t>Total</t>
  </si>
  <si>
    <t>SOMA</t>
  </si>
  <si>
    <t>PORCENTAGEM</t>
  </si>
  <si>
    <t>PORCENTAGEM ACUMULADA</t>
  </si>
  <si>
    <t>1º Mês</t>
  </si>
  <si>
    <t>2º Mês</t>
  </si>
  <si>
    <t>Valor Unitário sem BDI</t>
  </si>
  <si>
    <t>Valor unitário com BDI</t>
  </si>
  <si>
    <t>Valor Total</t>
  </si>
  <si>
    <t>Secretaria Municipal de Educação de Januária</t>
  </si>
  <si>
    <t>Item</t>
  </si>
  <si>
    <t>Fonte / Código</t>
  </si>
  <si>
    <t>FINANCEIRO ACUMULADO</t>
  </si>
  <si>
    <t>SERVIÇOS PRELIMINARES</t>
  </si>
  <si>
    <t>UNID.</t>
  </si>
  <si>
    <t>1.1</t>
  </si>
  <si>
    <t>2.1</t>
  </si>
  <si>
    <t>ITENS</t>
  </si>
  <si>
    <t>Administração Central</t>
  </si>
  <si>
    <t>Seguro e Garantia</t>
  </si>
  <si>
    <t>Risco</t>
  </si>
  <si>
    <t>Despesas Financeiras</t>
  </si>
  <si>
    <t>Lucro</t>
  </si>
  <si>
    <t>Tributos (impostos COFINS 3% e PIS 0,65%)</t>
  </si>
  <si>
    <t>Tributos (ISS, variável de acordo com o município)</t>
  </si>
  <si>
    <t>Tributos (Contribuição Previdenciária sobre a Receita Bruta - 0% (sem desoneração) ou 4,5% (com desoneração)</t>
  </si>
  <si>
    <t>BDI COM DESONERAÇÃO</t>
  </si>
  <si>
    <t>SIGLAS</t>
  </si>
  <si>
    <t>% ADOTADO</t>
  </si>
  <si>
    <t>AC</t>
  </si>
  <si>
    <t>SG</t>
  </si>
  <si>
    <t>R</t>
  </si>
  <si>
    <t>DF</t>
  </si>
  <si>
    <t>L</t>
  </si>
  <si>
    <t>CP</t>
  </si>
  <si>
    <t>ISS</t>
  </si>
  <si>
    <t>CPRB</t>
  </si>
  <si>
    <t>BDI DES</t>
  </si>
  <si>
    <t>Conforme legislação tributária municipal, definir estimativa de percentual da base de cálculo para o ISS</t>
  </si>
  <si>
    <t>Sobre a base de cálculo, definir a respectiva alíquota do ISS (entre 2% e 5%)</t>
  </si>
  <si>
    <t>Os valores de BDI foram calculados com o emprego da fórmula:</t>
  </si>
  <si>
    <t>BDI = ( ( ( 1 +AC + S + R + G ) * ( 1 + DF ) * ( 1 + L ) ) / ( 1 - CP - ISS - CPRB ) ) - 1</t>
  </si>
  <si>
    <t>3º Mês</t>
  </si>
  <si>
    <t>FUNDAÇÃO</t>
  </si>
  <si>
    <t>ESTRUTURA</t>
  </si>
  <si>
    <t>M2</t>
  </si>
  <si>
    <t>3.1</t>
  </si>
  <si>
    <t>M3</t>
  </si>
  <si>
    <t>3.2</t>
  </si>
  <si>
    <t>4.1</t>
  </si>
  <si>
    <t>4.2</t>
  </si>
  <si>
    <t>4.3</t>
  </si>
  <si>
    <t>4.4</t>
  </si>
  <si>
    <t>4.5</t>
  </si>
  <si>
    <t>4.6</t>
  </si>
  <si>
    <t>SINAPI - 92265</t>
  </si>
  <si>
    <t>4.7</t>
  </si>
  <si>
    <t>4.8</t>
  </si>
  <si>
    <t>SINAPI - 92263</t>
  </si>
  <si>
    <t>4º Mês</t>
  </si>
  <si>
    <t>TOTAL</t>
  </si>
  <si>
    <t>1.2</t>
  </si>
  <si>
    <t>1.3</t>
  </si>
  <si>
    <t>1.4</t>
  </si>
  <si>
    <t>BARRACÃO DE OBRA PARA DEPÓSITO E FERRAMENTARIA TIPO-I, ÁREA INTERNA 14,52M2, EM CHAPA DE COMPENSADO RESINADO, INCLUSIVE MOBILIÁRIO (OBRA DE PEQUENO PORTE, EFETIVO ATÉ 30 HOMENS), PADRÃO DER-MG</t>
  </si>
  <si>
    <t>1.5</t>
  </si>
  <si>
    <t>LIGAÇÃO DE ÁGUA PROVISÓRIA PARA CANTEIRO, INCLUSIVE HIDRÔMETRO E CAVALETE PARA MEDIÇÃO DE ÁGUA - ENTRADA PRINCIPAL, EM AÇO GALVANIZADO DN 20MM (1/2") - PADRÃO CONCESSIONÁRIA</t>
  </si>
  <si>
    <t>MOVIMENTO DE TERRA</t>
  </si>
  <si>
    <t>3.3</t>
  </si>
  <si>
    <t>3.4</t>
  </si>
  <si>
    <t>3.5</t>
  </si>
  <si>
    <t>3.6</t>
  </si>
  <si>
    <t>3.7</t>
  </si>
  <si>
    <t>3.8</t>
  </si>
  <si>
    <t>LASTRO DE CONCRETO MAGRO, INCLUSIVE TRANSPORTE, LANÇAMENTO E ADENSAMENTO - SAPATAS (H = 5 CM)</t>
  </si>
  <si>
    <t>4.9</t>
  </si>
  <si>
    <t>4.10</t>
  </si>
  <si>
    <t>4.12</t>
  </si>
  <si>
    <t>FABRICAÇÃO DE FÔRMA PARA PILARES E ESTRUTURAS SIMILARES, EM CHAPA DE MADEIRA COMPENSADA RESINADA, E = 17 MM</t>
  </si>
  <si>
    <t>FABRICAÇÃO DE FÔRMA PARA VIGAS, EM CHAPA DE MADEIRA COMPENSADA RESINADA, E = 17 MM</t>
  </si>
  <si>
    <t>2.2</t>
  </si>
  <si>
    <t>M</t>
  </si>
  <si>
    <t>SINAPI - 93187</t>
  </si>
  <si>
    <t>SINAPI - 93197</t>
  </si>
  <si>
    <t>PAREDES E DIVISÓRIAS</t>
  </si>
  <si>
    <t>5.1</t>
  </si>
  <si>
    <t>5.2</t>
  </si>
  <si>
    <t>ALVENARIA DE VEDAÇÃO COM TIJOLO CERÂMICO FURADO, ESP. 14CM, PARA REVESTIMENTO, INCLUSIVE ARGAMASSA PARA ASSENTAMENTO</t>
  </si>
  <si>
    <t>COBERTURA</t>
  </si>
  <si>
    <t>ESQUADRIAS</t>
  </si>
  <si>
    <t>7.1</t>
  </si>
  <si>
    <t>7.2</t>
  </si>
  <si>
    <t>7.3</t>
  </si>
  <si>
    <t>7.4</t>
  </si>
  <si>
    <t>KG</t>
  </si>
  <si>
    <t>PAVIMENTAÇÃO</t>
  </si>
  <si>
    <t>REVESTIMENTOS</t>
  </si>
  <si>
    <t>9.1</t>
  </si>
  <si>
    <t>9.2</t>
  </si>
  <si>
    <t>9.3</t>
  </si>
  <si>
    <t>9.5</t>
  </si>
  <si>
    <t>SINAPI - 87548</t>
  </si>
  <si>
    <t>8.1</t>
  </si>
  <si>
    <t>8.2</t>
  </si>
  <si>
    <t>8.3</t>
  </si>
  <si>
    <t>INSTALAÇÕES ELÉTRICAS</t>
  </si>
  <si>
    <t>INSTALAÇÕES HIDROSSANITÁRIAS</t>
  </si>
  <si>
    <t>PINTURA</t>
  </si>
  <si>
    <t>RODAPÉ</t>
  </si>
  <si>
    <t>METAIS E LOUÇAS</t>
  </si>
  <si>
    <t>MURO DE FECHAMENTO</t>
  </si>
  <si>
    <t>SERVIÇOS COMPLEMENTARES</t>
  </si>
  <si>
    <t>13.1</t>
  </si>
  <si>
    <t>15.1</t>
  </si>
  <si>
    <t>14.1</t>
  </si>
  <si>
    <t>SINAPI - 86906</t>
  </si>
  <si>
    <t>6.1</t>
  </si>
  <si>
    <t>6.2</t>
  </si>
  <si>
    <t>FORNECIMENTO E ASSENTAMENTO DE TUBO PVC RÍGIDO, DRENAGEM/PLUVIAL, PBV - SÉRIE NORMAL, DN 100 MM (4"), INCLUSIVE CONEXÕES</t>
  </si>
  <si>
    <t>11.1</t>
  </si>
  <si>
    <t>11.2</t>
  </si>
  <si>
    <t>2.3</t>
  </si>
  <si>
    <t>2.4</t>
  </si>
  <si>
    <t>8.4</t>
  </si>
  <si>
    <t>7.6</t>
  </si>
  <si>
    <t>PREPARAÇÃO PARA EMASSAMENTO OU PINTURA (LÁTEX/ACRÍLICA) EM PAREDE, INCLUSIVE UMA (1) DEMÃO DE SELADOR ACRÍLICO - PAREDES, PILARES E VIGAS APARENTES</t>
  </si>
  <si>
    <t>EMASSAMENTO EM PAREDE COM MASSA ACRÍLICA, UMA (1) DEMÃO, INCLUSIVE LIXAMENTO PARA PINTURA - PAREDES, PILARES E VIGAS APARENTES</t>
  </si>
  <si>
    <t>12.1</t>
  </si>
  <si>
    <t>12.4</t>
  </si>
  <si>
    <t>12.5</t>
  </si>
  <si>
    <t>12.7</t>
  </si>
  <si>
    <t>12.8</t>
  </si>
  <si>
    <t>17.1</t>
  </si>
  <si>
    <t>LIMPEZA FINAL PARA ENTREGA DA OBRA</t>
  </si>
  <si>
    <t>10.1</t>
  </si>
  <si>
    <t>10.2</t>
  </si>
  <si>
    <t>10.3</t>
  </si>
  <si>
    <t>10.4</t>
  </si>
  <si>
    <t>10.5</t>
  </si>
  <si>
    <t>10.6</t>
  </si>
  <si>
    <t>10.7</t>
  </si>
  <si>
    <t>10.9</t>
  </si>
  <si>
    <t>10.11</t>
  </si>
  <si>
    <t>10.12</t>
  </si>
  <si>
    <t>10.13</t>
  </si>
  <si>
    <t>10.14</t>
  </si>
  <si>
    <t>10.15</t>
  </si>
  <si>
    <t>10.16</t>
  </si>
  <si>
    <t>10.18</t>
  </si>
  <si>
    <t>10.21</t>
  </si>
  <si>
    <t>10.22</t>
  </si>
  <si>
    <t>16.1</t>
  </si>
  <si>
    <t>16.2</t>
  </si>
  <si>
    <t>16.3</t>
  </si>
  <si>
    <t>16.4</t>
  </si>
  <si>
    <t>KIT CAVALETE PARA MEDIÇÃO DE ÁGUA, EMBUTIDO EM ALVENARIA, EM AÇO GALVANIZADO DN 25MM (3/4") - PADRÃO CONCESSIONÁRIA LOCAL, EXCLUSIVE HIDRÔMETRO</t>
  </si>
  <si>
    <t>SINAPI - 95675</t>
  </si>
  <si>
    <t>11.4</t>
  </si>
  <si>
    <t>6.5</t>
  </si>
  <si>
    <t>5º Mês</t>
  </si>
  <si>
    <t>6º Mês</t>
  </si>
  <si>
    <t>7º Mês</t>
  </si>
  <si>
    <t>8º Mês</t>
  </si>
  <si>
    <t>9º Mês</t>
  </si>
  <si>
    <t>10º Mês</t>
  </si>
  <si>
    <t>11º Mês</t>
  </si>
  <si>
    <t>12º Mês</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</si>
  <si>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</si>
  <si>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</si>
  <si>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FORNECIMENTO DE CONCRETO ESTRUTURAL, PREPARADO EM OBRA COM BETONEIRA, COM FCK 25MPA, INCLUSIVE LANÇAMENTO, ADENSAMENTO E ACABAMENTO (FUNDAÇÃO) - VIGAS BALDRAME</t>
  </si>
  <si>
    <t>SINAPI - 104111</t>
  </si>
  <si>
    <t>SINAPI - 104108</t>
  </si>
  <si>
    <t>SINAPI - 101964</t>
  </si>
  <si>
    <t>LAJE PRÉ-MOLDADA UNIDIRECIONAL, BIAPOIADA, PARA FORRO, ENCHIMENTO EM CERÂMICA, VIGOTA CONVENCIONAL, ALTURA TOTAL DA LAJE (ENCHIMENTO+CAPA) = (8+3)</t>
  </si>
  <si>
    <t>CALHA EM CHAPA GALVANIZADA, ESP. 0,8MM (GSG-22), COM DESENVOLVIMENTO DE 50CM, INCLUSIVE IÇAMENTO MANUAL VERTICAL</t>
  </si>
  <si>
    <t>CHAPIM EM CHAPA GALVANIZADA, COM PINGADEIRA, ESP. 0,65MM (GSG-24), COM DESENVOLVIMENTO DE 35CM, INCLUSIVE IÇAMENTO MANUAL VERTICAL</t>
  </si>
  <si>
    <t>SETOP - ED-50323</t>
  </si>
  <si>
    <t>ORSE - 13250</t>
  </si>
  <si>
    <t>SECRETARIA MUNICIPAL DE EDUCAÇÃO DE JANUÁRIA - MG</t>
  </si>
  <si>
    <t>RODAPÉ EM GRANILITE/MARMORITE, ACABAMENTO POLIDO, COR CINZA, ALTURA 10CM, INCLUSIVE POLIMENTO</t>
  </si>
  <si>
    <t>LUMINÁRIA COMERCIAL CHANFRADA DE SOBREPOR COMPLETA, PARA DUAS (2) LÂMPADAS TUBULARES LED 2X18W-ØT8, TEMPERATURA DA COR 6500K, FORNECIMENTO E INSTALAÇÃO, INCLUSIVE BASE E LÂMPADAS</t>
  </si>
  <si>
    <t>CONJUNTO DE UM (1) INTERRUPTOR SIMPLES, CORRENTE 10A, TENSÃO 250V, (10A-250V), COM PLACA 4"X2" DE UM (1) POSTO, INCLUSIVE FORNECIMENTO, INSTALAÇÃO, SUPORTE, MÓDULO E PLACA</t>
  </si>
  <si>
    <t>BANCADA EM GRANITO, COR CINZA ANDORINHA, ESP. 2CM, ACABAMENTO POLIDO, APOIADA EM CONSOLE DE METALON (50X30)MM, EXCLUSIVE RODABANCA/FRONTÃO, TESTEIRA/FAIXA, FURO EM BANCADA, CUBA METÁLICA, VÁLVULA, SIFÃO, TORNEIRA E ENGATE FLEXÍVEL</t>
  </si>
  <si>
    <t>RODABANCA/FRONTÃO PARA BANCADA EM GRANITO, COR CINZA ANDORINHA, ESP. 2CM, ALTURA DE 10CM, INCLUSIVE REJUNTAMENTO EM MASSA PLÁSTICA NA COR DA PEDRA</t>
  </si>
  <si>
    <t>TESTEIRA PARA BANCADA EM GRANITO, COR CINZA ANDORINHA, ESP. 2CM, ALTURA DE 10CM, INCLUSIVE POLIMENTO, CORTE/COLAGEM EM MEIA ESQUADRIA E MASSA PLÁSTICA NA COR DA PEDRA</t>
  </si>
  <si>
    <t>DEPÓSITO DE GÁS</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</si>
  <si>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</si>
  <si>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PONTO DE EMBUTIR PARA GÁS EM TUBO DE AÇO GALVANIZADO COM COSTURA, DN 1/2", EMBUTIDO NA ALVENARIA COM DISTÂNCIA DE ATÉ CINCO (5) METROS DO RAMAL DE ABASTECIMENTO, INCLUSIVE CONEXÕES E FIXAÇÃO DO TUBO COM ENCHIMENTO DO RASGO NA ALVENARIA/CONCRETO COM ARGAMASSA</t>
  </si>
  <si>
    <t>BANCADAS E PEITORIL</t>
  </si>
  <si>
    <t>CONDUTOR CIRCULAR DE ÁGUA PLUVIAL PARA DO TELHADO EM TUBO DE PVC, DIÂMETRO DE 75MM, INCLUSIVE CONEXÕES E SUPORTES</t>
  </si>
  <si>
    <t>REDE LÓGICA</t>
  </si>
  <si>
    <t>FORNECIMENTO E INSTALAÇÃO DE SWITCH 24 PORTAS GERENCIÁVEL POE 10/100 /1000 + 4SFP</t>
  </si>
  <si>
    <t>CONJUNTO DE DUAS (2) TOMADAS DE DADOS (CONECTOR RJ45 CAT.6E), COM PLACA 4"X2" DE DOIS (2) POSTOS, INCLUSIVE FORNECIMENTO, INSTALAÇÃO, SUPORTE, MÓDULO E PLACA</t>
  </si>
  <si>
    <t>PROJETOS COMPLEMENTARES</t>
  </si>
  <si>
    <t>PR A1</t>
  </si>
  <si>
    <t>6.4</t>
  </si>
  <si>
    <t>10.17</t>
  </si>
  <si>
    <t>10.19</t>
  </si>
  <si>
    <t>10.20</t>
  </si>
  <si>
    <t>10.23</t>
  </si>
  <si>
    <t>10.24</t>
  </si>
  <si>
    <t>11.3</t>
  </si>
  <si>
    <t>12.10</t>
  </si>
  <si>
    <t>12.11</t>
  </si>
  <si>
    <t>12.12</t>
  </si>
  <si>
    <t>12.13</t>
  </si>
  <si>
    <t>12.14</t>
  </si>
  <si>
    <t>12.15</t>
  </si>
  <si>
    <t>12.16</t>
  </si>
  <si>
    <t>13.2</t>
  </si>
  <si>
    <t>13.3</t>
  </si>
  <si>
    <t>13.4</t>
  </si>
  <si>
    <t>13.5</t>
  </si>
  <si>
    <t>18.1</t>
  </si>
  <si>
    <t>18.2</t>
  </si>
  <si>
    <t>19.1</t>
  </si>
  <si>
    <t>19.2</t>
  </si>
  <si>
    <t>20.1</t>
  </si>
  <si>
    <t>20.2</t>
  </si>
  <si>
    <t>20.3</t>
  </si>
  <si>
    <t>APILOAMENTO MANUAL EM FUNDO DE VALA COM SOQUETE, EXCLUSIVE ESCAVAÇÃO</t>
  </si>
  <si>
    <t>REATERRO MANUAL DE VALA, INCLUSIVE ESPALHAMENTO E COMPACTAÇÃO MANUAL COM SOQUETE - REDES HIDROSSANITÁRIAS</t>
  </si>
  <si>
    <t>VERGA MOLDADA IN LOCO EM CONCRETO, ESPESSURA DE *20* CM. AF_03/2024 - JANELAS</t>
  </si>
  <si>
    <t>CONTRAVERGA MOLDADA IN LOCO EM CONCRETO, ESPESSURA DE *20* CM. AF_03/2024</t>
  </si>
  <si>
    <t>VERGA MOLDADA IN LOCO EM CONCRETO, ESPESSURA DE *20* CM. AF_03/2024 - PORTAS</t>
  </si>
  <si>
    <t>Weslei Júnior Guedes de Jesus</t>
  </si>
  <si>
    <t>______________________________________________________</t>
  </si>
  <si>
    <t>Secretário Municipal de Educação de Januária - Mg</t>
  </si>
  <si>
    <t>Engenheiro Civil - Secretário Municipal de Educação de Januária - Mg</t>
  </si>
  <si>
    <t>SINAPI - 101161</t>
  </si>
  <si>
    <t>ESCAVAÇÃO MANUAL DE VALA COM PROFUNDIDADE MENOR OU IGUAL A 1,5M, INCLUSIVE DESCARGA LATERAL</t>
  </si>
  <si>
    <t>FÔRMA E DESFORMA PARA VIGA-CINTA/BLOCO COM TÁBUA E SARRAFO, REAPROVEITAMENTO (3X) (FUNDAÇÃO) - SAPATAS</t>
  </si>
  <si>
    <t>FÔRMA E DESFORMA PARA VIGA-CINTA/BLOCO COM TÁBUA E SARRAFO, REAPROVEITAMENTO (3X) (FUNDAÇÃO) - VIGAS BALDRAME</t>
  </si>
  <si>
    <t>ARMAÇÃO DE PILAR OU VIGA DE ESTRUTURA DE CONCRETO ARMADO EMBUTIDA EM ALVENARIA DE VEDAÇÃO UTILIZANDO AÇO CA-60 DE 5,0 MM - MONTAGEM</t>
  </si>
  <si>
    <t>PORTA METÁLICA PARA SANITÁRIO EM CHAPA GALVANIZADA, ESP. 1,25MM (GSG-18), DIMENSÃO (60X150)CM, TIPO DE ABRIR, UMA (1) FOLHA, INCLUSIVE BATENTE, ESTRUTURA EM METALON (20X30)MM, DOBRADIÇA E TRANQUETA, EXCLUSIVE PINTURA</t>
  </si>
  <si>
    <t>PORTA DE MADEIRA COMPLETA, DIMENSÃO (80X210)CM, TIPO DE ABRIR, UMA (1) FOLHA, ACABAMENTO NATURAL PARA PINTURA/VERNIZ, TIPO PRANCHETA/SARRAFEADA, INCLUSIVE MARCO, ALIZAR E FERRAGENS, EXCLUSIVE PINTURA/VERNIZ</t>
  </si>
  <si>
    <t>PISO EM CONCRETO PREPARADO EM OBRA COM BETONEIRA COM FCK DE 13,5MPA, SEM ARMAÇÃO, ACABAMENTO RÚSTICO, ESP. 8CM, INCLUSIVE FORNECIMENTO, LANÇAMENTO, ADENSAMENTO, SARRAFEAMENTO, EXCLUSIVE JUNTA DE DILATAÇÃO</t>
  </si>
  <si>
    <t>CHAPISCO COM ARGAMASSA, TRAÇO 1:3 (CIMENTO E AREIA), ESP. 5MM, APLICADO EM ALVENARIA/ESTRUTURA DE CONCRETO COM COLHER, INCLUSIVE ARGAMASSA COM PREPARO MECANIZADO - PAREDES, PILARES E VIGAS APARENTES</t>
  </si>
  <si>
    <t>MASSA ÚNICA, EM ARGAMASSA TRAÇO 1:2:8, PREPARO MANUAL, APLICADA MANUAL MENTE EM PAREDES INTERNAS DE AMBIENTES COM ÁREA ENTRE 5M² E 10M², E =10MM, COM TALISCAS. AF_03/2024 - PAREDES, PILARES E VIGAS APARENTES</t>
  </si>
  <si>
    <t>HIDRÔMETRO DN 3/4", 5,0 M3/H - FORNECIMENTO E INSTALAÇÃO</t>
  </si>
  <si>
    <t>PINTURA ACRÍLICA PARA PISO EM PASSEIO/SUPERFÍCIE CIMENTADA, DUAS (2) DEMÃOS, COM APLICAÇÃO MANUAL - PAREDES, PILARES E VIGAS APARENTES</t>
  </si>
  <si>
    <t>PINTURA ESMALTE BASE SOLVENTE EM ESQUADRIAS DE FERRO, DUAS (2) DEMÃOS, COM APLICAÇÃO MANUAL, INCLUSIVE UMA (1) DEMÃO DE FUNDO ANTICORROSIVO - PORTÃO DO ALÇAPÃO</t>
  </si>
  <si>
    <t>PINTURA ACRÍLICA EM TETO, DUAS (2) DEMÃOS, COM APLICAÇÃO MANUAL, EXCLUSIVE SELADOR ACRÍLICO E MASSA ACRÍLICA/ CORRIDA (PVA) - LAJES</t>
  </si>
  <si>
    <t>TORNEIRA METÁLICA PARA PIA, ABERTURA 1/4 DE VOLTA, ACABAMENTO CROMADO, COM AREJADOR, APLICAÇÃO DE PAREDE - COZINHA</t>
  </si>
  <si>
    <t>TORNEIRA METÁLICA PARA IRRIGAÇÃO/JARDIM, ACABAMENTO CROMADO, APLICAÇÃO DE PAREDE</t>
  </si>
  <si>
    <t>TORNEIRA METÁLICA PARA TANQUE, ACABAMENTO CROMADO, BICO COM ROSCA</t>
  </si>
  <si>
    <t>PEITORIL DE GRANITO, NA COR CINZA ANDORINHA, COM
 PINGADEIRA, ESP. 2CM, ACABAMENTO POLIDO, ASSENTAMENTO COM ARGAMASSA INDUSTRIALIZADA, INCLUSIVE REJUNTAMENTO</t>
  </si>
  <si>
    <t>PINTURA ESMALTE BASE SOLVENTE EM ESQUADRIAS DE FERRO, DUAS (2) DEMÃOS, COM APLICAÇÃO MANUAL, INCLUSIVE UMA (1) DEMÃO DE FUNDO ANTICORROSIVO - PORTÃO</t>
  </si>
  <si>
    <t>LOCAÇÃO DE CONSTRUÇÃO DE EDIFICAÇÃO ACIMA DE 1000 M2, INCLUSIVE EXECUÇÃO DE GABARITO DE MADEIRA</t>
  </si>
  <si>
    <t>ORSE - 04177</t>
  </si>
  <si>
    <t>6.6</t>
  </si>
  <si>
    <t>6.7</t>
  </si>
  <si>
    <t>FORNECIMENTO E INSTALAÇÃO DE JANELA EM VIDRO TEMPERADO INCOLOR 8MM, INCLUSIVE PERFIS E FERRAGENS</t>
  </si>
  <si>
    <t xml:space="preserve">PORTÃO EM TUBO DE AÇO GALVANIZADO COM COSTURA, DIÂMETRO DE 1.1/2" (38,1MM), ESP. 2MM, COM TELA QUADRICULADA ONDULADA, TRAMA DE 1/2" (12,70MM), FIO 12 (2,77MM), EXCLUSIVE CADEADO E PINTURA - PORTÕES DE GRADE </t>
  </si>
  <si>
    <t>EXECUÇÃO DE PAVIMENTO COM PISO INTERTRAVADO, TIPO RETANGULAR, ESP. 6CM, COM FCK DE 35MPA, INCLUSIVE COLCHÃO DE AREIA, ESP. 6CM, PARA ASSENTAMENTO, COMPACTAÇÃO MECANIZADA, CARGA E DESCARGA MECÂNICA EM CAMINHÃO, EXCLUSIVE TRANSPORTE DE PISO INTERTRAVADO</t>
  </si>
  <si>
    <t>PORTA EM PERFIL E CHAPA METÁLICA, EXCLUSIVE FERRAGENS E PINTURA - ALÇAPÃO</t>
  </si>
  <si>
    <t>MURO DIVISÓRIO DE TIJOLO FURADO COM ALTURA 250CM, COM PILARETES DE 16X9CM A CADA 250CM, SAPATA DE CONCRETO ARMADO 30X20CM E PINGADEIRA, REBOCADO E PINTADO A LÁTEX, INCLUSIVE ESCAVAÇÃO, APILOAMENTO E LASTRO</t>
  </si>
  <si>
    <t>PROJETO EXECUTIVO DE PREVENÇÃO E COMBATE A INCÊNDIO</t>
  </si>
  <si>
    <t xml:space="preserve">QUADRA </t>
  </si>
  <si>
    <t>QUADRA</t>
  </si>
  <si>
    <t>ALAMBRADO PARA QUADRA ESPORTIVA, EM TELA DE ARAME GALVANIZADO COM TRAMA LOSANGULAR DE 2" (50,8MM) E FIO BWG12 (2,77MM), EXCLUSIVE PINTURA, INCLUSIVE FIXAÇÃO E FORNECIMENTO EM QUADROS DE TUBOS DE AÇO CARBONO GALVANIZADO DIÂMETRO DE 50MM (2") - FECHAMENTO FUNDO DO PALCO (C = 10,24 M; H = 1,00 M) E CONFORME PROJETO FECHAMENTO LATERAL E ÁREA DE JOGOS (C = 104,85 M; H = 2,00 M)</t>
  </si>
  <si>
    <t>SINAPI - 96622</t>
  </si>
  <si>
    <t>LASTRO COM MATERIAL GRANULAR, APLICADO EM PISOS OU LAJES SOBRE SOLO, ESPESSURA DE *5 CM*</t>
  </si>
  <si>
    <t>ORSE - 01927</t>
  </si>
  <si>
    <t>FORNECIMENTO E INSTALAÇÃO DE REDE DE PROTEÇÃO EM NYLON MALHA 10 X 10 CM PARA QUADRAS DE ESPORTE</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</si>
  <si>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</si>
  <si>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COBERTURA EM TELHA METÁLICA GALVANIZADA ONDULADA, TIPO SIMPLES, ESP. 0,50MM, ACABAMENTO NATURAL, INCLUSIVE ACESSÓRIOS PARA FIXAÇÃO, FORNECIMENTO E INSTALAÇÃO - ÁREA DE PROJEÇÃO DA QUADRA MAIS EMPENAS E SAIAS</t>
  </si>
  <si>
    <t>CAIXA D'ÁGUA DE POLIETILENO, CAPACIDADE DE 5.000L, INCLUSIVE TAMPA, TORNEIRA DE BOIA, EXTRAVASOR, TUBO DE LIMPEZA E ACESSÓRIOS, EXCLUSIVE TUBULAÇÃO DE ENTRADA/SAÍDA DE ÁGUA</t>
  </si>
  <si>
    <t>TRABALHOS EM TERRA</t>
  </si>
  <si>
    <t>20.1.2</t>
  </si>
  <si>
    <t>FUNDAÇÕES, MUROS E CONTENÇÕES</t>
  </si>
  <si>
    <t>20.2.1</t>
  </si>
  <si>
    <t>20.2.2</t>
  </si>
  <si>
    <t>20.2.4</t>
  </si>
  <si>
    <t>20.3.1</t>
  </si>
  <si>
    <t>20.3.2</t>
  </si>
  <si>
    <t>20.3.3</t>
  </si>
  <si>
    <t>20.3.4</t>
  </si>
  <si>
    <t>20.3.5</t>
  </si>
  <si>
    <t>20.3.6</t>
  </si>
  <si>
    <t>20.3.7</t>
  </si>
  <si>
    <t>20.3.8</t>
  </si>
  <si>
    <t>20.3.9</t>
  </si>
  <si>
    <t>20.3.10</t>
  </si>
  <si>
    <t>20.3.11</t>
  </si>
  <si>
    <t>20.3.12</t>
  </si>
  <si>
    <t>BACIA SANITÁRIA (VASO) DE LOUÇA CONVENCIONAL, COR BRANCA, INCLUSIVE ACESSÓRIOS DE FIXAÇÃO/VEDAÇÃO, VÁLVULA DE DESCARGA METÁLICA COM ACIONAMENTO DUPLO, TUBO DE LIGAÇÃO DE LATÃO COM CANOPLA E REJUNTAMENTO, EXCLUSIVE ASSENTO - BANHEIRO DOS PROFESSORES</t>
  </si>
  <si>
    <t>TANQUE DE MÁRMORE SINTÉTICO DUPLO, CAPACIDADE 37 LITROS, INCLUSIVE ACESSÓRIOS DE FIXAÇÃO, VÁLVULA DE ESCOAMENTO DE METAL COM ACABAMENTO CROMADO E SIFÃO DE METAL TIPO COPO COM ACABAMENTO CROMADO, EXCLUSIVE TORNEIRA</t>
  </si>
  <si>
    <t>ARMADURA DE TELA DE AÇO CA-60, SOLDADA TIPO Q-138, DIÂMETRO Ø4,2MM, TRAMA COM DIMENSÃO (100X100)MM, INCLUSIVE ESPAÇADOR, EXCLUSIVE CONCRETO</t>
  </si>
  <si>
    <t>ESCAVAÇÃO MANUAL DE VALA COM PROFUNDIDADE MENOR OU IGUAL A 1,5M, INCLUSIVE DESCARGA LATERAL- BALDRAMES, BLOCO E COROAMENTO</t>
  </si>
  <si>
    <t>REATERRO MANUAL DE VALA, INCLUSIVE ESPALHAMENTO E COMPACTAÇÃO MANUAL COM SOQUETE- BALDRAMES, BLOCO E COROAMENTO</t>
  </si>
  <si>
    <t>ESCAVAÇÃO MANUAL DE TUBULÃO A CÉU ABERTO, INCLUSIVE DESCARGA LATERAL - TUBULÃO PARA PILARES METÁLICOS</t>
  </si>
  <si>
    <t>FÔRMA E DESFORMA PARA VIGA-CINTA/BLOCO COM TÁBUA E SARRAFO, REAPROVEITAMENTO (3X) (FUNDAÇÃO)</t>
  </si>
  <si>
    <t>PINTURA EPÓXI EM PISO, DUAS (2) DEMÃOS, EXCLUSIVE PRIMER EPÓXI, INCLUSIVE LIMPEZA DA SUPERFÍCIE - ÁREA DE JOGOS DA QUADRA</t>
  </si>
  <si>
    <t>PINTURA ACRÍLICA PARA PISO EM FAIXA DE DEMARCAÇÃO DE QUADRA, QUATRO (4) DEMÃOS, COM APLICAÇÃO MANUAL FAIXA COM LARGURA DE 5 CM- AREA DE JOGOS DA QUADRA</t>
  </si>
  <si>
    <t>CORTE, DOBRA E MONTAGEM DE AÇO CA-50/60, INCLUSIVE ESPAÇADOR - FUNDAÇÃO</t>
  </si>
  <si>
    <t>POLIMENTO MECANIZADO DE SUPERFÍCIE EM CONCRETO, INCLUSIVE ACABAMENTO DE CONCRETAGEM EM NIVELAMENTO A LASER (NÍVEL ZERO)- POLIMENTO DE PISO DA QUADRA</t>
  </si>
  <si>
    <t>PLANTIO DE GRAMA SÃO CARLOS EM PLACAS, INCLUSIVE TERRA VEGETAL E CONSERVAÇÃO POR TRINTA (30) DIAS</t>
  </si>
  <si>
    <t>8.5</t>
  </si>
  <si>
    <t>PILAR EM CONCRETO APARENTE 20 MPa, INCLUSIVE ARMAÇÃO, FÔRMA PLASTIFICADA E DESFORMA</t>
  </si>
  <si>
    <t>4.11</t>
  </si>
  <si>
    <t>4.13</t>
  </si>
  <si>
    <t>CANALETA PARA DRENAGEM, PRÉ-MOLDADA, TIPO MEIA CANA, DIÂMETRO 30CM, EXCLUSIVE TAMPA, INCLUSIVE ASSENTAMENTO EM ARGAMASSA, TRAÇO 1:3 (CIMENTO E AREIA), ESCAVAÇÃO, TRANSPORTE E RETIRADA DO MATERIAL ESCAVADO (EM CAÇAMBA)</t>
  </si>
  <si>
    <t>FORNECIMENTO E ASSENTAMENTO DE TUBO PVC RÍGIDO, DRENAGEM/PLUVIAL, PBV - SÉRIE NORMAL, DN 200 MM (8"), INCLUSIVE CONEXÕES</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</si>
  <si>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</si>
  <si>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</si>
  <si>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TAMPA EM CONCRETO COM FCK 15MPA, MOLDADA IN LOCO, PARA CANALETA COM LARGURA 30CM, ESP. 8CM, INCLUSIVE ARMAÇÃO CA-50 DIÂMETRO (6,3MM)</t>
  </si>
  <si>
    <t xml:space="preserve">DRENAGEM </t>
  </si>
  <si>
    <t>20.3.13</t>
  </si>
  <si>
    <t>20.3.14</t>
  </si>
  <si>
    <t>POSTE DE VÔLEI OU PETECA OFICIAL (PAR) COM REDE, EM TUBO DE AÇO, DIÂMETRO DE 3", TIPO TELESCÓPICO, INCLUSIVE TRATAMENTO ANTICORROSIVO E PINTURA</t>
  </si>
  <si>
    <t>TABELA DE BASQUETE OFICIAL COM ARO FIXO, REDE E POSTE METÁLICO, INCLUSIVE SUPORTE PARA PISO, INCLUSIVE TRATAMENTO ANTICORROSIVO E PINTURA</t>
  </si>
  <si>
    <t>TRAVE DE FUTSAL (PAR) COM REDE, EM TUBO DE AÇO, DIÂMETRO DE 3", COMPRIMENTO 300CM, ALTURA 200CM, INCLUSIVE TRATAMENTO ANTICORROSIVO E PINTURA</t>
  </si>
  <si>
    <t>BARRA DE APOIO EM AÇO INOX POLIDO PARA LAVATÓRIO DE CANTO, DIÂMETRO DE 1.1/4", PARA ACESSIBILIDADE (PMR/PCR), INSTALADO EM PAREDE, INCLUSIVE ACESSÓRIOS PARA FIXAÇÃO - BANHEIROS</t>
  </si>
  <si>
    <t>ACESSIBILIDADE</t>
  </si>
  <si>
    <t>CORRIMÃO DUPLO EM TUBO GALVANIZADO, COM COSTURA, DIÂMETRO DE 1.1/2", ESP. 3MM, FIXADO EM PISO COM MONTANTE VERTICAL, DIÂMETRO DE 1.1/2", INCLUSIVE SUPORTE PARA CORRIMÃO EM BARRA CHATA (1"X1/2"), EXCLUSIVE PINTURA</t>
  </si>
  <si>
    <t>20.3.15</t>
  </si>
  <si>
    <t>LASTRO DE CONCRETO MAGRO, INCLUSIVE TRANSPORTE, LANÇAMENTO E ADENSAMENTO</t>
  </si>
  <si>
    <t>PISO PODOTÁTIL DE CONCRETO, ALERTA OU DIRECIONAL, APLICADO EM PISO (20X20)CM COM JUNTA SECA, COR VERMELHO/AMARELO, INCLUSIVE ASSENTAMENTO COM ARGAMASSA INDUSTRIALIZADA</t>
  </si>
  <si>
    <t>PORTA METÁLICA EM CHAPA DOBRADA, DIMENSÃO (80X210)CM, TIPO DE ABRIR, UMA (1) FOLHA, COM BARRA DE APOIO INOX, COMPRIMENTO DE 40CM, INCLUSIVE ESTRUTURA, DOBRADIÇA E MARCO, EXCLUSIVE FECHADURA E PINTURA</t>
  </si>
  <si>
    <t>PINTURA ESMALTE BASE SOLVENTE EM ESQUADRIA DE MADEIRA, DUAS (2) DEMÃOS, COM APLICAÇÃO MANUAL, INCLUSIVE UMA (1) DEMÃO DE FUNDO NIVELADOR E PREPARAÇÃO DA SUPERFÍCIE COM LIXAMENTO, EXCLUSIVE MASSA A ÓLEO</t>
  </si>
  <si>
    <t>EMASSAMENTO EM ESQUADRIA DE MADEIRA COM MASSA A ÓLEO, DUAS (2) DEMÃOS, INCLUSIVE LIXAMENTO PARA PINTURA A ÓLEO OU ESMALTE</t>
  </si>
  <si>
    <t>PORTÃO EM CHAPA DE AÇO GALVANIZADO, TIPO LAMBRIL, ESP. 1,25MM (GSG-18), COM REQUADRO EM TUBO DE AÇO (50X30)MM, ESP. 1,25MM, EXCLUSIVE CADEADO E PINTURA</t>
  </si>
  <si>
    <t>Local: Januária-MG</t>
  </si>
  <si>
    <t>14.2</t>
  </si>
  <si>
    <t>14.3</t>
  </si>
  <si>
    <t>14.5</t>
  </si>
  <si>
    <t>14.6</t>
  </si>
  <si>
    <t>14.7</t>
  </si>
  <si>
    <t>14.8</t>
  </si>
  <si>
    <t>14.9</t>
  </si>
  <si>
    <t>16.6</t>
  </si>
  <si>
    <t>16.7</t>
  </si>
  <si>
    <t>16.8</t>
  </si>
  <si>
    <t>16.9</t>
  </si>
  <si>
    <t>16.10</t>
  </si>
  <si>
    <t>17.2</t>
  </si>
  <si>
    <t>17.3</t>
  </si>
  <si>
    <t>17.4</t>
  </si>
  <si>
    <t>18.3</t>
  </si>
  <si>
    <t>7.5</t>
  </si>
  <si>
    <t>5.4</t>
  </si>
  <si>
    <t>20.1.1</t>
  </si>
  <si>
    <t>20.1.3</t>
  </si>
  <si>
    <t>20.2.3</t>
  </si>
  <si>
    <t>21.4</t>
  </si>
  <si>
    <t>22.1</t>
  </si>
  <si>
    <t>22.2</t>
  </si>
  <si>
    <t>23.1</t>
  </si>
  <si>
    <t>7.7</t>
  </si>
  <si>
    <t>FORNECIMENTO DE GRADE FIXA DE FERRO, PARA PROTEÇÃO DE JANELA, INCLUSIVE ASSENTAMENTO E ACESSÓRIOS</t>
  </si>
  <si>
    <t>12.17</t>
  </si>
  <si>
    <t>12.18</t>
  </si>
  <si>
    <t>CHUVEIRO ELÉTRICO BRANCO, TENSÃO 127V/220V, POTÊNCIA 4600W/5500W, INCLUSIVE BRAÇO/CANO</t>
  </si>
  <si>
    <t>8.6</t>
  </si>
  <si>
    <t>SOLEIRA DE ARDÓSIA, COR NATURAL, ESP. 2CM, ACABAMENTO POLIDO, ASSENTAMENTO COM ARGAMASSA INDUSTRIALIZADA, INCLUSIVE REJUNTAMENTO - NAS PORTAS E VARANDAS</t>
  </si>
  <si>
    <t>__________________________________________</t>
  </si>
  <si>
    <t>Helisson Fidélis Porto de Moura</t>
  </si>
  <si>
    <t xml:space="preserve">REVESTIMENTO COM CERÂMICA APLICADO EM PAREDE, ACABAMENTO ESMALTADO, AMBIENTE INTERNO/EXTERNO, PADRÃO EXTRA, DIMENSÃO DA PEÇA ATÉ 2025 CM2, PEI III, ASSENTAMENTO COM ARGAMASSA INDUSTRIALIZADA, INCLUSIVE REJUNTAMENTO - PREENCHIMENTO COMPLETO DAS PAREDES DA COZINHA, DOS BANHEIROS, DEPOSITOS E SALAS </t>
  </si>
  <si>
    <t>CONJUNTO DE UMA (1) TOMADA PADRÃO, TRÊS (3) POLOS, CORRENTE 10A, TENSÃO 250V, (2P+T/10A-250V), COM PLACA 4"X2" DE UM (1) POSTO, INCLUSIVE FORNECIMENTO, INSTALAÇÃO, SUPORTE, MÓDULO E PLACA</t>
  </si>
  <si>
    <t>10.25</t>
  </si>
  <si>
    <t>10.26</t>
  </si>
  <si>
    <t>10.27</t>
  </si>
  <si>
    <t>10.28</t>
  </si>
  <si>
    <t>10.29</t>
  </si>
  <si>
    <t>PASSEIOS DE CONCRETO E = 6 CM, FCK = 10 MPA, JUNTA SECA  - PASSEIO INTERNO - AO REDOR DA CONSTRUÇÃO, NA FRENTE DO MURO E PLAYGROUND</t>
  </si>
  <si>
    <t>EXECUÇÃO DE PAVIMENTO COM PISO INTERTRAVADO, TIPO SEXTAVADO, ESP. 6CM, COM FCK DE 35MPA, INCLUSIVE COLCHÃO DE AREIA, ESP. 6CM, PARA ASSENTAMENTO, COMPACTAÇÃO MECANIZADA, CARGA E DESCARGA MECÂNICA EM CAMINHÃO, EXCLUSIVE TRANSPORTE DE PISO INTERTRAVADO</t>
  </si>
  <si>
    <t>8.7</t>
  </si>
  <si>
    <t>8.8</t>
  </si>
  <si>
    <t>LASTRO DE AREIA, INCLUSIVE ADENSAMENTO E APILOAMENTO MANUAL</t>
  </si>
  <si>
    <t>GUIA DE MEIO-FIO, EM CONCRETO COM FCK 15MPA, MOLDADA INLOCO, SEÇÃO 15X45CM, FORMA EM MADEIRA, EXCLUSIVE SARJETA, INCLUSIVE ESCAVAÇÃO, APILOAMENTO E TRANSPORTE COM RETIRADA DO MATERIAL ESCAVADO (EM CAÇAMBA)</t>
  </si>
  <si>
    <t>8.9</t>
  </si>
  <si>
    <t>10.30</t>
  </si>
  <si>
    <t>10.31</t>
  </si>
  <si>
    <t>8.10</t>
  </si>
  <si>
    <t>PLANTIO E PREPARO DE COVAS PARA ÁRVORES COM ALTURA ÉDIA DE 2,00M, DIMENSÕES (60X60X60)CM, EXCLUSIVE FORNECIMENTO DAS MUDAS</t>
  </si>
  <si>
    <t>23.2</t>
  </si>
  <si>
    <t>Obra: Construção Cemei Jove da Mata</t>
  </si>
  <si>
    <t>SICOR - ED-28427</t>
  </si>
  <si>
    <t>SICOR - ED-50128</t>
  </si>
  <si>
    <t>SICOR - ED-50150</t>
  </si>
  <si>
    <t>SICOR - ED-50151</t>
  </si>
  <si>
    <t>SICOR - ED-51107</t>
  </si>
  <si>
    <t>SICOR - ED-51093</t>
  </si>
  <si>
    <t>SICOR - ED-51120</t>
  </si>
  <si>
    <t xml:space="preserve">SICOR - ED-49812 </t>
  </si>
  <si>
    <t>SICOR - ED-49787</t>
  </si>
  <si>
    <t>SICOR - ED-49810</t>
  </si>
  <si>
    <t>SICOR - ED-49619</t>
  </si>
  <si>
    <t>SICOR - ED-50842</t>
  </si>
  <si>
    <t>SICOR - ED-48232</t>
  </si>
  <si>
    <t>SICOR - ED-50650</t>
  </si>
  <si>
    <t>SICOR - ED-50667</t>
  </si>
  <si>
    <t>SICOR - ED-50669</t>
  </si>
  <si>
    <t>SICOR - ED-49602</t>
  </si>
  <si>
    <t>SICOR - ED-50976</t>
  </si>
  <si>
    <t>SICOR - ED-50977</t>
  </si>
  <si>
    <t>SICOR - ED-50974</t>
  </si>
  <si>
    <t>SICOR - ED-50979</t>
  </si>
  <si>
    <t>SICOR - ED-50951</t>
  </si>
  <si>
    <t>SICOR - ED-50571</t>
  </si>
  <si>
    <t>SICOR - ED-50612</t>
  </si>
  <si>
    <t>SICOR - ED-8915</t>
  </si>
  <si>
    <t>SICOR - ED-8913</t>
  </si>
  <si>
    <t>SICOR - ED-51145</t>
  </si>
  <si>
    <t>SICOR - ED-49814</t>
  </si>
  <si>
    <t>SICOR - ED-51141</t>
  </si>
  <si>
    <t>SICOR - ED-50436</t>
  </si>
  <si>
    <t>SICOR - ED-51001</t>
  </si>
  <si>
    <t>SICOR - ED-15226</t>
  </si>
  <si>
    <t>SICOR - ED-50727</t>
  </si>
  <si>
    <t>SICOR - ED-9081</t>
  </si>
  <si>
    <t>SICOR - ED-49168</t>
  </si>
  <si>
    <t>SICOR - ED-15748</t>
  </si>
  <si>
    <t>SICOR - ED-15749</t>
  </si>
  <si>
    <t>SICOR - ED-15733</t>
  </si>
  <si>
    <t>SICOR - ED-13338</t>
  </si>
  <si>
    <t>SICOR - ED-49404</t>
  </si>
  <si>
    <t>SICOR - ED-13344</t>
  </si>
  <si>
    <t>SICOR - ED-15762</t>
  </si>
  <si>
    <t>SICOR - ED-48669</t>
  </si>
  <si>
    <t>SICOR - ED-15205</t>
  </si>
  <si>
    <t>SICOR - ED-50019</t>
  </si>
  <si>
    <t>SICOR - ED-29742</t>
  </si>
  <si>
    <t>SICOR - ED-16344</t>
  </si>
  <si>
    <t>SICOR - ED-48552</t>
  </si>
  <si>
    <t>SICOR - ED-48334</t>
  </si>
  <si>
    <t>SICOR - ED-48671</t>
  </si>
  <si>
    <t>SICOR - ED-49912</t>
  </si>
  <si>
    <t>SICOR - ED-49929</t>
  </si>
  <si>
    <t>SICOR - ED-50514</t>
  </si>
  <si>
    <t>SICOR - ED-50473</t>
  </si>
  <si>
    <t>SICOR - ED-50475</t>
  </si>
  <si>
    <t>SICOR - ED-50459</t>
  </si>
  <si>
    <t>SICOR - ED-50452</t>
  </si>
  <si>
    <t>SICOR - ED-50491</t>
  </si>
  <si>
    <t>SICOR - ED-50493</t>
  </si>
  <si>
    <t>SICOR - ED-50482</t>
  </si>
  <si>
    <t>SICOR - ED-50783</t>
  </si>
  <si>
    <t>SICOR - ED-50279</t>
  </si>
  <si>
    <t>SICOR - ED-50283</t>
  </si>
  <si>
    <t>SICOR - ED-50298</t>
  </si>
  <si>
    <t>SICOR - ED-50326</t>
  </si>
  <si>
    <t>SICOR - ED-9156</t>
  </si>
  <si>
    <t>SICOR - ED-50331</t>
  </si>
  <si>
    <t>SICOR - ED-21631</t>
  </si>
  <si>
    <t>SICOR - ED-48348</t>
  </si>
  <si>
    <t>SICOR - ED-21636</t>
  </si>
  <si>
    <t>SICOR - ED-50997</t>
  </si>
  <si>
    <t>SICOR - ED-50982</t>
  </si>
  <si>
    <t>SICOR - ED-16320</t>
  </si>
  <si>
    <t>SICOR - ED-15716</t>
  </si>
  <si>
    <t>SICOR - ED-50226</t>
  </si>
  <si>
    <t>SICOR - ED-49777</t>
  </si>
  <si>
    <t>SICOR - ED-48298</t>
  </si>
  <si>
    <t>SICOR - ED-49786</t>
  </si>
  <si>
    <t>SICOR - ED-49812</t>
  </si>
  <si>
    <t>SICOR - ED-9937</t>
  </si>
  <si>
    <t>SICOR - ED-50462</t>
  </si>
  <si>
    <t>SICOR - ED-9100</t>
  </si>
  <si>
    <t>SICOR - ED-50986</t>
  </si>
  <si>
    <t>SICOR - ED-49572</t>
  </si>
  <si>
    <t>SICOR - ED-49574</t>
  </si>
  <si>
    <t>SICOR - ED-49569</t>
  </si>
  <si>
    <t>SICOR - ED-29582</t>
  </si>
  <si>
    <t>SICOR - ED-49638</t>
  </si>
  <si>
    <t>SICOR - ED-50619</t>
  </si>
  <si>
    <t>SICOR - ED-20573</t>
  </si>
  <si>
    <t>SICOR - ED-13852</t>
  </si>
  <si>
    <t>SICOR -CO-27468</t>
  </si>
  <si>
    <t>SICOR - ED-48167</t>
  </si>
  <si>
    <t>SICOR - ED-32001</t>
  </si>
  <si>
    <t>SICOR - ED-50266</t>
  </si>
  <si>
    <t>SICOR - ED-50432</t>
  </si>
  <si>
    <t>ORSE - 13398</t>
  </si>
  <si>
    <t>ORSE - 13510</t>
  </si>
  <si>
    <t>ORSE - 08943</t>
  </si>
  <si>
    <t>SICOR - ED-20588</t>
  </si>
  <si>
    <t>SICOR - ED-49016</t>
  </si>
  <si>
    <t>CABO UNIPOLAR DE COBRE FLEXÍVEL, CLASSE 5, ISOLAMENTO TIPO EPR/HEPR, NÃO HALOGENADO E ANTICHAMA, DIÂMETRO DA SEÇÃO DE 95MM2, TEMPERATURA DE TRABALHO 90°C, TENSÃO NOMINAL DE OPERAÇÃO 0,6/1KV</t>
  </si>
  <si>
    <t>SICOR - ED-49007</t>
  </si>
  <si>
    <t>CABO UNIPOLAR DE COBRE FLEXÍVEL, CLASSE 5, ISOLAMENTO TIPO EPR/HEPR, NÃO HALOGENADO E ANTICHAMA, DIÂMETRO DA SEÇÃO DE 35MM2, TEMPERATURA DE TRABALHO 90°C, TENSÃO NOMINAL DE OPERAÇÃO 0,6/1KV</t>
  </si>
  <si>
    <t>SICOR - ED-49314</t>
  </si>
  <si>
    <t>SICOR - ED-48946</t>
  </si>
  <si>
    <t>CABO ISOLADO DE COBRE FLEXÍVEL, CLASSE 5, ISOLAMENTO TIPO LSHF/ATOX, NÃO HALOGENADO E ANTICHAMA, DIÂMETRO DA SEÇÃO DE 1,5MM2, TEMPERATURA DE TRABALHO 70°C, TENSÃO NOMINAL DE OPERAÇÃO 450/750V</t>
  </si>
  <si>
    <t>SICOR - ED-48951</t>
  </si>
  <si>
    <t>CABO ISOLADO DE COBRE FLEXÍVEL, CLASSE 5, ISOLAMENTO TIPO LSHF/ATOX, NÃO HALOGENADO E ANTICHAMA, DIÂMETRO DA SEÇÃO DE 2,5MM2, TEMPERATURA DE TRABALHO 70°C, TENSÃO NOMINAL DE OPERAÇÃO 450/750V</t>
  </si>
  <si>
    <t>10.8</t>
  </si>
  <si>
    <t>SICOR - ED-48956</t>
  </si>
  <si>
    <t>CABO ISOLADO DE COBRE FLEXÍVEL, CLASSE 5, ISOLAMENTO TIPO LSHF/ATOX, NÃO HALOGENADO E ANTICHAMA, DIÂMETRO DA SEÇÃO DE 4MM2, TEMPERATURA DE TRABALHO 70°C, TENSÃO NOMINAL DE OPERAÇÃO 450/750V</t>
  </si>
  <si>
    <t>SICOR - ED-48961</t>
  </si>
  <si>
    <t>CABO ISOLADO DE COBRE FLEXÍVEL, CLASSE 5, ISOLAMENTO TIPO LSHF/ATOX, NÃO HALOGENADO E ANTICHAMA, DIÂMETRO DA SEÇÃO DE 6MM2, TEMPERATURA DE TRABALHO 70°C, TENSÃO NOMINAL DE OPERAÇÃO 450/750V</t>
  </si>
  <si>
    <t>10.10</t>
  </si>
  <si>
    <t>SICOR - ED-14201</t>
  </si>
  <si>
    <t>QUADRO DE DISTRIBUIÇÃO DE EMBUTIR EM CHAPA, PARA 56 DISJUNTORES DIN, INCLUSIVE BARRAMENTOS NEUTRO/TERRA E BARRAMENTO TRIFÁSICO DE 225A</t>
  </si>
  <si>
    <t>SICOR - ED-34476</t>
  </si>
  <si>
    <t>DISJUNTOR BIPOLAR TIPO DIN, CORRENTE NOMINAL DE 25A, FORNECIMENTO E INSTALAÇÃO, INCLUSIVE TERMINAL ILHÓS</t>
  </si>
  <si>
    <t>SICOR - ED-34477</t>
  </si>
  <si>
    <t>DISJUNTOR BIPOLAR TIPO DIN, CORRENTE NOMINAL DE 32A, FORNECIMENTO E INSTALAÇÃO, INCLUSIVE TERMINAL ILHÓS</t>
  </si>
  <si>
    <t>SICOR - ED-34463</t>
  </si>
  <si>
    <t>DISJUNTOR MONOPOLAR TIPO DIN, CORRENTE NOMINAL DE 25A, FORNECIMENTO E INSTALAÇÃO, INCLUSIVE TERMINAL ILHÓS</t>
  </si>
  <si>
    <t>SICOR - ED-34462</t>
  </si>
  <si>
    <t>DISJUNTOR MONOPOLAR TIPO DIN, CORRENTE NOMINAL DE 20A, FORNECIMENTO E INSTALAÇÃO, INCLUSIVE TERMINAL ILHÓS</t>
  </si>
  <si>
    <t>SICOR - ED-34461</t>
  </si>
  <si>
    <t>DISJUNTOR MONOPOLAR TIPO DIN, CORRENTE NOMINAL DE 16A, FORNECIMENTO E INSTALAÇÃO, INCLUSIVE TERMINAL ILHÓS</t>
  </si>
  <si>
    <t>SICOR - ED-34504</t>
  </si>
  <si>
    <t>DISJUNTOR TRIPOLAR TIPO CAIXA MOLDADA, CORRENTE NOMINAL DE 200A, FORNECIMENTO E INSTALAÇÃO, INCLUSIVE TERMINAL DE COMPRESSÃO</t>
  </si>
  <si>
    <t>SICOR - ED-19519</t>
  </si>
  <si>
    <t>SETOP - ED-15762</t>
  </si>
  <si>
    <t>SETOP - ED-9194</t>
  </si>
  <si>
    <t>CABO UTP COM QUATRO (4) PARES, CATEGORIA 6, CLASSIFICAÇÃO LSZH, COM ISOLAMENTO NÃO HALOGENADO E ANTICHAMA, EXCLUSIVE CONECTOR/PLUG MACHO RJ45 E CRIMPAGEM</t>
  </si>
  <si>
    <t>SICOR - ED-17953</t>
  </si>
  <si>
    <t>SICOR - ED-49414</t>
  </si>
  <si>
    <t>SICOR - ED-7249</t>
  </si>
  <si>
    <t>ELETRODUTO FLEXÍVEL, EM AÇO GALVANIZADO, DIÂMETRO DE 25MM (1"), REVESTIDO EXTERNAMENTE COM PVC, NA COR PRETA, INCLUSIVE ACESSÓRIOS PARA FIXAÇÃO E CONEXÕES</t>
  </si>
  <si>
    <t>SICOR - ED-15770</t>
  </si>
  <si>
    <t>CONJUNTO DE UM (1) INTERRUPTOR BIPOLAR SIMPLES, CORRENTE 10A, TENSÃO 250V, (10A-250V) E UMA (1) TOMADA PADRÃO, TRÊS (3) POLOS, CORRENTE 20A, TENSÃO 250V, (2P+T/20A-250V), COM PLACA 4"X2" DE DOIS (2) POSTOS, INCLUSIVE FORNECIMENTO, INSTALAÇÃO, SUPORTE, MÓDULO E PLACA</t>
  </si>
  <si>
    <t xml:space="preserve">CONJUNTO DE UMA (1) TOMADA PADRÃO, TRÊS (3) POLOS, CORRENTE 20A, TENSÃO 250V, (2P+T/20A-250V), COM PLACA 4"X2" DE UM (1) POSTO, INCLUSIVE FORNECIMENTO, INSTALAÇÃO, SUPORTE, MÓDULO E PLACA - AR CONDICIONADO E CHUVEIRO </t>
  </si>
  <si>
    <t>ORSE - 13176</t>
  </si>
  <si>
    <t>LUMINÁRIA SOBREPOR QUADRADA LED 24W*, 6500K G- LIGHT OU SIMILAR</t>
  </si>
  <si>
    <t>SICOR - ED-22350</t>
  </si>
  <si>
    <t>REFLETOR DE LED, POTÊNCIA DE 200W, EXCLUSIVE SUPORTE E POSTE</t>
  </si>
  <si>
    <t>LÂMPADA LED, BASE E27, POTÊNCIA DE 20W, BULBO A70, TEMPERATURA DA COR 6500K, TENSÃO 110-127V, EXCLUSIVE LUMINÁRIA</t>
  </si>
  <si>
    <t>10.33</t>
  </si>
  <si>
    <t>SICOR - ED-48700</t>
  </si>
  <si>
    <t>ATERRAMENTO COM HASTE DE COBRE, TIPO COPPERWELD, DIÂMETRO DE 5/8", COMPRIMENTO DE 240CM, EXCLUSIVE CABO E CAIXA PARA ATERRAMENTO, INCLUSIVE GRAMPO PARA HASTE E INSTALAÇÃO</t>
  </si>
  <si>
    <t>10.34</t>
  </si>
  <si>
    <t>SICOR - ED-51055</t>
  </si>
  <si>
    <t>CAIXA DE INSPEÇÃO EM PVC, DIÂMETRO DE 30CM, ALTURA DE 30CM, COM TAMPA EM FERRO FUNDIDO, EXCLUSIVE HASTE DE ATERRAMENTO, INCLUSIVE INSTALAÇÃO</t>
  </si>
  <si>
    <t>10.35</t>
  </si>
  <si>
    <t>SICOR - ED-49135</t>
  </si>
  <si>
    <t>10.36</t>
  </si>
  <si>
    <t>SICOR - ED-49309</t>
  </si>
  <si>
    <t>10.37</t>
  </si>
  <si>
    <t>SICOR - ED-13943</t>
  </si>
  <si>
    <t>CABO DE ALUMÍNIO NU SEM ALMA 2/0 AWG 7 FIOSX3,50MM, PARA ELEMENTOS DE CAPTAÇÃO/ ANEL DE CINTAMENTO/ DESCIDA (SPDA), INCLUSIVE SUPORTE E ISOLADOR</t>
  </si>
  <si>
    <t xml:space="preserve">FORNECIMENTO E ASSENTAMENTO DE TUBO PVC RÍGIDO, ESGOTO, PBV - SÉRIE NORMAL, DN 100 MM (4"), INCLUSIVE CONEXÕES </t>
  </si>
  <si>
    <t>FORNECIMENTO E ASSENTAMENTO DE TUBO PVC RÍGIDO SOLDÁVEL, ÁGUA FRIA, DN 25 MM (3/4") , INCLUSIVE CONEXÕES</t>
  </si>
  <si>
    <t>FORNECIMENTO E ASSENTAMENTO DE TUBO PVC RÍGIDO, ESGOTO, PB - SÉRIE NORMAL, DN 40MM (1.1/2"), INCLUSIVE CONEXÕES</t>
  </si>
  <si>
    <t>FORNECIMENTO E ASSENTAMENTO DE TUBO PVC RÍGIDO, ESGOTO, PBV - SÉRIE NORMAL, DN 50 MM (2"), INCLUSIVE CONEXÕES</t>
  </si>
  <si>
    <t>SICOR - ED-50035</t>
  </si>
  <si>
    <t>SICOR - ED-50027</t>
  </si>
  <si>
    <t>CAIXA DE ESGOTO DE INSPEÇÃO/PASSAGEM EM ALVENARIA (60X60X40CM), REVESTIMENTO EM ARGAMASSA COM ADITIVO IMPERMEABILIZANTE, COM TAMPA DE CONCRETO, INCLUSIVE ESCAVAÇÃO, REATERRO E TRANSPORTE COM RETIRADA DO MATERIAL ESCAVADO (EM CAÇAMBA)</t>
  </si>
  <si>
    <t>SICOR - ED-49882</t>
  </si>
  <si>
    <t>CAIXA DE ESGOTO DE INSPEÇÃO/PASSAGEM EM ALVENARIA (80X80X80CM), REVESTIMENTO EM ARGAMASSA COM ADITIVO IMPERMEABILIZANTE, COM TAMPA DE CONCRETO, INCLUSIVE ESCAVAÇÃO, REATERRO E TRANSPORTE COM RETIRADA DO MATERIAL ESCAVADO (EM CAÇAMBA)</t>
  </si>
  <si>
    <t>SICOR - ED-49896</t>
  </si>
  <si>
    <t>FORNECIMENTO E ASSENTAMENTO DE TUBO PVC RÍGIDO SOLDÁVEL, ÁGUA FRIA, DN 50 MM (1.1/2"), INCLUSIVE CONEXÕES</t>
  </si>
  <si>
    <t>SICOR - ED-50022</t>
  </si>
  <si>
    <t>SICOR - ED-50023</t>
  </si>
  <si>
    <t>FORNECIMENTO E ASSENTAMENTO DE TUBO PVC RÍGIDO SOLDÁVEL, ÁGUA FRIA, DN 60 MM (2"), INCLUSIVE CONEXÕES</t>
  </si>
  <si>
    <t>FORNECIMENTO E ASSENTAMENTO DE TUBO PVC RÍGIDO SOLDÁVEL, ÁGUA FRIA, DN 75 MM (2.1/2"), INCLUSIVE CONEXÕES</t>
  </si>
  <si>
    <t>SICOR - ED-50024</t>
  </si>
  <si>
    <t>FORNECIMENTO E ASSENTAMENTO DE TUBO PVC RÍGIDO, ESGOTO, PBV - SÉRIE REFORÇADO, DN 75 MM (3"), INCLUSIVE CONEXÕES</t>
  </si>
  <si>
    <t>SICOR - ED-50030</t>
  </si>
  <si>
    <t>SICOR - ED-50037</t>
  </si>
  <si>
    <t>CAIXA SIFONADA EM PVC COM GRELHA QUADRADA150 X 150 X 50MM</t>
  </si>
  <si>
    <t>SICOR - ED-50007</t>
  </si>
  <si>
    <t>CAIXA SIFONADA EM PVC COM GRELHA QUADRADA/REDONDA 150 X 185 X 75 MM</t>
  </si>
  <si>
    <t>SICOR - ED-50009</t>
  </si>
  <si>
    <t>CAIXA DE GORDURA DUPLA (CGD), CIRCULAR, EM CONCRETO PRÉ-MOLDADO, CAPACIDADE DE 120L, INCLUSIVE ESCAVAÇÃO, REATERRO, TRANSPORTE E RETIRADA DO MATERIAL ESCAVADO (EM CAÇAMBA)</t>
  </si>
  <si>
    <t>SICOR - ED-49940</t>
  </si>
  <si>
    <t>CAIXA DE DRENAGEM DE INSPEÇÃO/PASSAGEM EM ALVENARIA (60X60X40CM), REVESTIMENTO EM ARGAMASSA COM ADITIVO IMPERMEABILIZANTE, COM TAMPA EM GRELHA, INCLUSIVE ESCAVAÇÃO, REATERRO E TRANSPORTE COM RETIRADA DO MATERIAL ESCAVADO (EM CAÇAMBA)</t>
  </si>
  <si>
    <t>SICOR - ED-49914</t>
  </si>
  <si>
    <t>CAIXA DE DRENAGEM DE INSPEÇÃO/PASSAGEM EM ALVENARIA (80X80X80CM), REVESTIMENTO EM ARGAMASSA COM ADITIVO IMPERMEABILIZANTE, COM TAMPA EM GRELHA, INCLUSIVE ESCAVAÇÃO, REATERRO E TRANSPORTE COM RETIRADA DO MATERIAL ESCAVADO (EM CAÇAMBA)</t>
  </si>
  <si>
    <t>SICOR - ED-49924</t>
  </si>
  <si>
    <t>RALO SECO PVC QUADRADO 100 X 53 X 40 MM COM GRELHA BRANCA</t>
  </si>
  <si>
    <t>SICOR - ED-49959</t>
  </si>
  <si>
    <t>RESERVATÓRIO DE ÁGUA ENTERRADO, CAPACIDADE DE 15M3, EM CONCRETO ARMADO COM CASAS DE BOMBAS, INCLUSIVE ALÇAPÃO, ESCAVAÇÃO, REATERRO E TRANSPORTE COM RETIRADA DO MATERIAL ESCAVADO (EM CAÇAMBA), EXCLUSIVE TUBULAÇÕES, BOMBAS E QUADROS</t>
  </si>
  <si>
    <t>BOMBA CENTRÍFUGA MONOFÁSICA DE 1CV, INCLUSIVE FORNECIMENTO E INSTALAÇÃO</t>
  </si>
  <si>
    <t>SICOR - ED-49861</t>
  </si>
  <si>
    <t>SICOR - ED-9941</t>
  </si>
  <si>
    <t>ARMAÇÃO DE BLOCO UTILIZANDO AÇO CA-50 DE 8 MM - MONTAGEM. AF_01/2024 (SAPATAS)</t>
  </si>
  <si>
    <t>FORNECIMENTO DE CONCRETO ESTRUTURAL, PREPARADO EM OBRA COM BETONEIRA, COM FCK 25MPA, INCLUSIVE LANÇAMENTO, ADENSAMENTO E ACABAMENTO (FUNDAÇÃO) - SAPATAS E PESCOÇO</t>
  </si>
  <si>
    <t>SINAPI - 96545</t>
  </si>
  <si>
    <t xml:space="preserve">ARMAÇÃO DE PILAR OU VIGA DE ESTRUTURA DE CONCRETO ARMADO EMBUTIDA EM ALVENARIA DE VEDAÇÃO UTILIZANDO AÇO CA-50 DE 10,0 MM - MONTAGEM </t>
  </si>
  <si>
    <t>ARMAÇÃO DE PILAR OU VIGA DE ESTRUTURA DE CONCRETO ARMADO EMBUTIDA EM ALVENARIA DE VEDAÇÃO UTILIZANDO AÇO CA-50 DE 12,5 MM - MONTAGEM. AF_06/2022</t>
  </si>
  <si>
    <t>SINAPI - 104107</t>
  </si>
  <si>
    <t>ARMAÇÃO DE PILAR OU VIGA DE ESTRUTURA DE CONCRETO ARMADO EMBUTIDA EM ALVENARIA DE VEDAÇÃO UTILIZANDO AÇO CA-50 DE 8,0 MM - MONTAGEM. AF_06/2022</t>
  </si>
  <si>
    <t>SINAPI - 104109</t>
  </si>
  <si>
    <t>ARMAÇÃO DE PILAR OU VIGA DE ESTRUTURA DE CONCRETO ARMADO EMBUTIDA EM ALVENARIA DE VEDAÇÃO UTILIZANDO AÇO CA-50 DE 6,3 MM - MONTAGEM. AF_06/2022</t>
  </si>
  <si>
    <t>SINAPI - 104110</t>
  </si>
  <si>
    <t>3.9</t>
  </si>
  <si>
    <t>3.10</t>
  </si>
  <si>
    <t>3.11</t>
  </si>
  <si>
    <t>4.14</t>
  </si>
  <si>
    <t>FORNECIMENTO DE CONCRETO ESTRUTURAL, PREPARADO EM OBRA, COM FCK 25MPA, INCLUSIVE LANÇAMENTO, ADENSAMENTO E ACABAMENTO - PILARES E PILARES DA PLATIBANDA</t>
  </si>
  <si>
    <t>FORNECIMENTO DE CONCRETO ESTRUTURAL, PREPARADO EM OBRA, COM FCK 25MPA, INCLUSIVE LANÇAMENTO, ADENSAMENTO E ACABAMENTO - VIGAS AÉREAS E VIGAS DA PLATIBANDA</t>
  </si>
  <si>
    <t>COMPACTAÇÃO MECÂNICA DE ATERRO COM ROLO VIBRATÓRIO A 100% DO PROCTOR INTERMEDIÁRIO, INCLUSIVE ESPALHAMENTO - ELEVAÇÃO DA CONSTRUÇÃO , DO PISO INTERTRAVADO E DO PASSEIO INTERNO</t>
  </si>
  <si>
    <t>SICOR - ED-29190</t>
  </si>
  <si>
    <t xml:space="preserve">Preço base: Sicor-out/25, Sinapi-dez/25, Orse-jan/25 </t>
  </si>
  <si>
    <t>ALVENARIA DE VEDAÇÃO COM ELEMENTO VAZADO DE CONCRETO (COBOGÓ) DE 7X50X50CM E ARGAMASSA DE ASSENTAMENTO COM PREPARO EM BETONEIRA. AF_05/2020</t>
  </si>
  <si>
    <t>DIVISÓRIA EM GRANITO BRANCO SIENA, POLIDO DO DOIS LADOS, E= 2CM, INCLUSIVE MONTAGEM COM FERRAGENS</t>
  </si>
  <si>
    <t>PORTA METÁLICA PARA SANITÁRIO EM CHAPA GALVANIZADA, ESP. 1,25MM (GSG-18), DIMENSÃO (80X150)CM, TIPO DE ABRIR, UMA (1) FOLHA, INCLUSIVE BATENTE, ESTRUTURA EM METALON (20X30)MM, DOBRADIÇA E TRANQUETA, EXCLUSIVE PINTURA</t>
  </si>
  <si>
    <t>PISO EM GRANILITE/MARMORITE, ESP. 8MM, ACABAMENTO POLIDO, COR CINZA, MODULAÇÃO DE (1X1)M, INCLUSIVE JUNTA ALUMÍNIO, RESINA E POLIMENTO MECANIZADO</t>
  </si>
  <si>
    <t>FORNECIMENTO E INSTALAÇÃO DE MINI RACK DE PAREDE 19" X 16U X 450MM</t>
  </si>
  <si>
    <t>SICOR - ED-9194</t>
  </si>
  <si>
    <t>SICOR - ED-9066</t>
  </si>
  <si>
    <t>REVESTIMENTO DE GESSO EM TETO, ESP. 5MM, APLICAÇÃO MANUAL, INCLUSIVE ACABAMENTO SARRAFEADO - LAJES</t>
  </si>
  <si>
    <t>PREPARAÇÃO PARA EMASSAMENTO OU PINTURA (LÁTEX/ACRÍLICA) EM PAREDE OU FORRO EM CHAPA DE GESSO ACARTONADO (DRYWALL), INCLUSIVE UMA (1) DEMÃO DE SELADOR ACRÍLICO - LAJES</t>
  </si>
  <si>
    <t>ENTRADA DE ENERGIA AÉREA, TIPO C8, PADRÃO CEMIG, CARGA INSTALADA DE 66,1KVA ATÉ 75KVA, TRIFÁSICO, COM SAÍDA SUBTERRÂNEA, INCLUSIVE POSTE, CAIXA PARA MEDIDOR, DISJUNTOR, BARRAMENTO, ATERRAMENTO E ACESSÓRIOS</t>
  </si>
  <si>
    <t>CAIXA DE PASSAGEM EM ALVENARIA E TAMPA DE CONCRETO, FUNDO DE BRITA, TIPO 1, DIMENSÃO (30X30X40)CM, INCLUSIVE ESCAVAÇÃO, REATERRO E BOTA-FORA</t>
  </si>
  <si>
    <t>ELETRODUTO DE PVC RÍGIDO ROSCÁVEL, DIÂMETRO DE 75MM (3"), INSTALAÇÃO EMBUTIDA OU ENTERRADA, INCLUSIVE CONEXÕES, EXCLUSIVE RASGO EM ALVENARIA/CONCRETO OU ESCAVAÇÃO</t>
  </si>
  <si>
    <t>ELETROCALHA PERFURADA (100X50)MM EM CHAPA DE AÇO
GALVANIZADO, ESP. 1,25MM (MSG 18), COM TRATAMENTO PRÉ-
ZINCADO, INCLUSIVE TAMPA DE ENCAIXE, FIXAÇÃO SUPERIOR,
CONEXÕES E ACESSÓRIOS</t>
  </si>
  <si>
    <t>ELETRODUTO FLEXÍVEL CORRUGADO EM PVC, ANTI-CHAMA, DIÂMETRO DE 32MM (1"), APLICADO EM ALVENARIA, EXCLUSIVE RASGO</t>
  </si>
  <si>
    <t>ELETRODUTO FLEXÍVEL CORRUGADO EM PVC, ANTI-CHAMA, DIÂMETRO DE 25MM (3/4"), APLICADO EM ALVENARIA, INCLUSIVE RASGO</t>
  </si>
  <si>
    <t>LUMINÁRIA ARANDELA TIPO TARTARUGA BLINDADA, PARA UMA (1) LÂMPADA BASE E-27, POTÊNCIA MÁXIMA 60W, FORNECIMENTO E INSTALAÇÃO, EXCLUSIVE LÂMPADA</t>
  </si>
  <si>
    <t>CORDOLHA DE COBRE NÚ, SEÇÃO TRANSVERSAL DE 35MM2, ENTERRADO PARA SISTEMA DE ATERRAMENTO, EXCLUSIVE ESCAVAÇÃO E REATERRO</t>
  </si>
  <si>
    <t>ELETRODUTO DE PVC RÍGIDO ROSCÁVEL, DIÂMETRO DE 25MM (1"), INSTALAÇÃO EMBUTIDA OU ENTERRADA, INCLUSIVE CONEXÕES, EXCLUSIVE RASGO EM ALVENARIA/CONCRETO OU ESCAVAÇÃO</t>
  </si>
  <si>
    <t>12.2</t>
  </si>
  <si>
    <t>12.3</t>
  </si>
  <si>
    <t>12.6</t>
  </si>
  <si>
    <t>12.9</t>
  </si>
  <si>
    <t>12.19</t>
  </si>
  <si>
    <t>12.20</t>
  </si>
  <si>
    <t>12.21</t>
  </si>
  <si>
    <t>12.22</t>
  </si>
  <si>
    <t>CUBA DE LOUÇA BRANCA DE EMBUTIR, FORMATO OVAL, INCLUSIVE VÁLVULA DE ESCOAMENTO DE METAL COM ACABAMENTO CROMADO, SIFÃO DE METAL TIPO COPO COM ACABAMENTO CROMADO - BANHEIROS, LAVATORIO DO REFEITORIO</t>
  </si>
  <si>
    <t>TORNEIRA CROMADA DE MESA, 1/2" OU 3/4", PARA LAVATÓRIO, PADRÃO POPULAR - FORNECIMENTO E INSTALAÇÃO - BANHEIROS</t>
  </si>
  <si>
    <t>LAVATÓRIO DE LOUÇA BRANCA SEM COLUNA, TAMANHO MÉDIO, INCLUSIVE ACESSÓRIOS DE FIXAÇÃO, VÁLVULA DE ESCOAMENTO DE METAL COM ACABAMENTO CROMADO, SIFÃO DE METAL TIPO COPO COM ACABAMENTO CROMADO E REJUNTAMENTO, EXCLUSIVE TORNEIRA E ENGATE FLEXÍVEL - BANHEIRO</t>
  </si>
  <si>
    <t>ORSE - 07227</t>
  </si>
  <si>
    <t>CUBA DE AÇO INOX 304, DIMENSÕES 60 X 50CM, PARA INSTALAÇÃO EM BANCADA, C/ VÁLVULA CROMADA (DECA REF 1623), SIFÃO CROMADO (DECA REF C1680), TORNEIRA CROMADA (DECA LINHA C40 REF1159) E ENGATE DE PLÁSTICO OU SIMILARES - REV 02</t>
  </si>
  <si>
    <t>FORNECIMENTO DE CONCRETO ESTRUTURAL, PREPARADO EM OBRA COM BETONEIRA, COM FCK 20MPA, INCLUSIVE LANÇAMENTO, ADENSAMENTO E ACABAMENTO (FUNDAÇÃO)</t>
  </si>
  <si>
    <t>FORNECIMENTO DE CONCRETO ESTRUTURAL, USINADO BOMBEADO, COM FCK 25MPA, INCLUSIVE LANÇAMENTO, ADENSAMENTO E ACABAMENTO (E=8 CM, LANÇADO EM PISO DE QUADRA, COM JUNTAS OU CORTES EM PLACAS NÃO MAIORES QUE 4,0 M2)</t>
  </si>
  <si>
    <t>CARGA MECÂNICA DE MATERIAL DE QUALQUER NATUREZA SOBRE CAMINHÃO, EXCLUSIVE TRANSPORTE</t>
  </si>
  <si>
    <t>TRANSPORTE DE MATERIAL DE QUALQUER NATUREZA EM
CAMINHÃO, DISTÂNCIA MAIOR QUE 1KM E MENOR OU IGUAL A 2KM, DENTRO DO PERÍMETRO URBANO, EXCLUSIVE CARGA, INCLUSIVE DESCARGA</t>
  </si>
  <si>
    <t>SICOR - ED-29230</t>
  </si>
  <si>
    <t>SICOR - ED-51132</t>
  </si>
  <si>
    <t>2.5</t>
  </si>
  <si>
    <t>2.6</t>
  </si>
  <si>
    <t>M3xKM</t>
  </si>
  <si>
    <t>TELHAMENTO COM TELHA METÁLICA TERMOACÚSTICA E = 30 MM, COM ATÉ 2 ÁGUAS, INCLUSO IÇAMENTO. AF_07/2019</t>
  </si>
  <si>
    <t>SINAPI - 94216</t>
  </si>
  <si>
    <t>TRAMA DE AÇO COMPOSTA POR RIPAS PARA TELHADOS DE ATÉ 2 ÁGUAS PARA TELHA DE ENCAIXE DE CERÂMICA OU DE CONCRETO, INCLUSO TRANSPORTE VERTICAL, EXCLUSIVE PINTURA. AF_10/2025</t>
  </si>
  <si>
    <t>SINAPI - 92570</t>
  </si>
  <si>
    <t>TELHAMENTO COM TELHA CERÂMICA CAPA-CANAL, TIPO COLONIAL, COM ATÉ 2 ÁGUAS, INCLUSO TRANSPORTE VERTICAL. AF_07/2019</t>
  </si>
  <si>
    <t>SINAPI - 94201</t>
  </si>
  <si>
    <t>TAPUME FIXO DE PROTEÇÃO PARA FECHAMENTO DE OBRA EM TELHA METÁLICA GALVANIZADA, TIPO TRAPEZOIDAL, ESP. 0,5MM, COM MÓDULO NA DIMENSÃO DE (300X220)CM, COM REAPROVEITAMENTO, EXCLUSIVE PINTURA ESMALTE, INCLUSIVE PONTALETE E FIXAÇÃO</t>
  </si>
  <si>
    <t>SICOR - ED-29823</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</si>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</sst>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R$&quot;\ #,##0.00;[Red]\-&quot;R$&quot;\ #,##0.00"/>
    <numFmt numFmtId="44" formatCode="_-&quot;R$&quot;\ * #,##0.00_-;\-&quot;R$&quot;\ * #,##0.00_-;_-&quot;R$&quot;\ * &quot;-&quot;??_-;_-@_-"/>
    <numFmt numFmtId="43" formatCode="_-* #,##0.00_-;\-* #,##0.00_-;_-* &quot;-&quot;??_-;_-@_-"/>
    <numFmt numFmtId="164" formatCode="&quot;R$&quot;\ #,##0.00"/>
    <numFmt numFmtId="165" formatCode="_(&quot;R$ &quot;* #,##0.00_);_(&quot;R$ &quot;* \(#,##0.00\);_(&quot;R$ &quot;* &quot;-&quot;??_);_(@_)"/>
  </numFmts>
  <fonts count="31" x14ac:knownFonts="1">
    <font>
      <sz val="11"/>
      <color theme="1"/>
      <name val="Calibri"/>
      <family val="2"/>
      <scheme val="minor"/>
    </font>
    <font>
      <sz val="8"/>
      <name val="Arial"/>
      <family val="2"/>
    </font>
    <font>
      <sz val="10"/>
      <name val="Arial"/>
      <family val="2"/>
    </font>
    <font>
      <b/>
      <sz val="10"/>
      <color indexed="8"/>
      <name val="Arial"/>
      <family val="2"/>
    </font>
    <font>
      <b/>
      <sz val="12"/>
      <name val="Arial"/>
      <family val="2"/>
    </font>
    <font>
      <sz val="12"/>
      <name val="Arial"/>
      <family val="2"/>
    </font>
    <font>
      <b/>
      <sz val="8"/>
      <name val="Arial"/>
      <family val="2"/>
    </font>
    <font>
      <sz val="11"/>
      <color theme="1"/>
      <name val="Calibri"/>
      <family val="2"/>
      <scheme val="minor"/>
    </font>
    <font>
      <b/>
      <sz val="12"/>
      <color rgb="FF2E2E2E"/>
      <name val="Arial"/>
      <family val="2"/>
    </font>
    <font>
      <sz val="9"/>
      <color theme="1"/>
      <name val="Calibri"/>
      <family val="2"/>
      <scheme val="minor"/>
    </font>
    <font>
      <b/>
      <sz val="9"/>
      <name val="Calibri"/>
      <family val="2"/>
      <scheme val="minor"/>
    </font>
    <font>
      <b/>
      <sz val="8"/>
      <color rgb="FF2E2E2E"/>
      <name val="Arial"/>
      <family val="2"/>
    </font>
    <font>
      <b/>
      <sz val="11"/>
      <color theme="1"/>
      <name val="Arial"/>
      <family val="2"/>
    </font>
    <font>
      <b/>
      <sz val="11"/>
      <color theme="1"/>
      <name val="Calibri"/>
      <family val="2"/>
      <scheme val="minor"/>
    </font>
    <font>
      <sz val="11"/>
      <color theme="1"/>
      <name val="Arial"/>
      <family val="2"/>
    </font>
    <font>
      <sz val="12"/>
      <color theme="1"/>
      <name val="Arial"/>
      <family val="2"/>
    </font>
    <font>
      <b/>
      <sz val="12"/>
      <color theme="1"/>
      <name val="Arial"/>
      <family val="2"/>
    </font>
    <font>
      <b/>
      <sz val="18"/>
      <color rgb="FF2E2E2E"/>
      <name val="Arial"/>
      <family val="2"/>
    </font>
    <font>
      <b/>
      <sz val="11"/>
      <color rgb="FF2E2E2E"/>
      <name val="Arial"/>
      <family val="2"/>
    </font>
    <font>
      <b/>
      <sz val="11"/>
      <color indexed="8"/>
      <name val="Arial"/>
      <family val="2"/>
    </font>
    <font>
      <sz val="11"/>
      <color indexed="8"/>
      <name val="Arial"/>
      <family val="2"/>
    </font>
    <font>
      <sz val="12"/>
      <color theme="1"/>
      <name val="Calibri"/>
      <family val="2"/>
      <scheme val="minor"/>
    </font>
    <font>
      <b/>
      <sz val="14"/>
      <color theme="1"/>
      <name val="Arial"/>
      <family val="2"/>
    </font>
    <font>
      <sz val="14"/>
      <color theme="1"/>
      <name val="Calibri"/>
      <family val="2"/>
      <scheme val="minor"/>
    </font>
    <font>
      <b/>
      <sz val="11"/>
      <color theme="6" tint="-0.499984740745262"/>
      <name val="Arial"/>
      <family val="2"/>
    </font>
    <font>
      <b/>
      <sz val="18"/>
      <color theme="1"/>
      <name val="Calibri"/>
      <family val="2"/>
      <scheme val="minor"/>
    </font>
    <font>
      <b/>
      <sz val="26"/>
      <name val="Arial"/>
      <family val="2"/>
    </font>
    <font>
      <sz val="8"/>
      <name val="Calibri"/>
      <family val="2"/>
      <scheme val="minor"/>
    </font>
    <font>
      <sz val="10"/>
      <color rgb="FF000000"/>
      <name val="Arial"/>
    </font>
    <font>
      <sz val="11"/>
      <color theme="1"/>
      <name val="Calibri"/>
      <family val="2"/>
    </font>
    <font>
      <b/>
      <sz val="16"/>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theme="0"/>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2">
    <xf numFmtId="0" fontId="0" fillId="0" borderId="0"/>
    <xf numFmtId="44" fontId="7" fillId="0" borderId="0" applyFont="0" applyFill="0" applyBorder="0" applyAlignment="0" applyProtection="0"/>
    <xf numFmtId="0" fontId="2" fillId="0" borderId="0"/>
    <xf numFmtId="9" fontId="7" fillId="0" borderId="0" applyFont="0" applyFill="0" applyBorder="0" applyAlignment="0" applyProtection="0"/>
    <xf numFmtId="43" fontId="7" fillId="0" borderId="0" applyFont="0" applyFill="0" applyBorder="0" applyAlignment="0" applyProtection="0"/>
    <xf numFmtId="43" fontId="2"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0" fontId="2" fillId="0" borderId="0"/>
    <xf numFmtId="165" fontId="2" fillId="0" borderId="0" applyFont="0" applyFill="0" applyBorder="0" applyAlignment="0" applyProtection="0"/>
    <xf numFmtId="0" fontId="28" fillId="0" borderId="0"/>
  </cellStyleXfs>
  <cellXfs count="229">
    <xf numFmtId="0" fontId="0" fillId="0" borderId="0" xfId="0"/>
    <xf numFmtId="4" fontId="0" fillId="0" borderId="0" xfId="0" applyNumberFormat="1"/>
    <xf numFmtId="0" fontId="0" fillId="0" borderId="0" xfId="0" applyAlignment="1">
      <alignment horizontal="left"/>
    </xf>
    <xf numFmtId="44" fontId="7" fillId="0" borderId="0" xfId="1" applyFont="1"/>
    <xf numFmtId="0" fontId="0" fillId="2" borderId="0" xfId="0" applyFill="1"/>
    <xf numFmtId="0" fontId="0" fillId="0" borderId="1" xfId="0" applyBorder="1"/>
    <xf numFmtId="0" fontId="0" fillId="0" borderId="0" xfId="0" applyAlignment="1">
      <alignment horizontal="center" vertical="center" wrapText="1"/>
    </xf>
    <xf numFmtId="4" fontId="0" fillId="0" borderId="0" xfId="0" applyNumberFormat="1" applyAlignment="1">
      <alignment horizontal="center" vertical="center" wrapText="1"/>
    </xf>
    <xf numFmtId="0" fontId="9" fillId="2" borderId="0" xfId="0" applyFont="1" applyFill="1"/>
    <xf numFmtId="164" fontId="12" fillId="4" borderId="1" xfId="0" applyNumberFormat="1" applyFont="1" applyFill="1" applyBorder="1"/>
    <xf numFmtId="44" fontId="14" fillId="5" borderId="5" xfId="1" applyFont="1" applyFill="1" applyBorder="1"/>
    <xf numFmtId="44" fontId="15" fillId="5" borderId="5" xfId="1" applyFont="1" applyFill="1" applyBorder="1"/>
    <xf numFmtId="0" fontId="15" fillId="5" borderId="5" xfId="0" applyFont="1" applyFill="1" applyBorder="1"/>
    <xf numFmtId="44" fontId="12" fillId="5" borderId="0" xfId="1" applyFont="1" applyFill="1" applyBorder="1"/>
    <xf numFmtId="44" fontId="16" fillId="5" borderId="0" xfId="1" applyFont="1" applyFill="1" applyBorder="1" applyAlignment="1">
      <alignment horizontal="right"/>
    </xf>
    <xf numFmtId="44" fontId="14" fillId="5" borderId="0" xfId="1" applyFont="1" applyFill="1" applyBorder="1"/>
    <xf numFmtId="44" fontId="15" fillId="5" borderId="0" xfId="1" applyFont="1" applyFill="1" applyBorder="1"/>
    <xf numFmtId="44" fontId="14" fillId="5" borderId="7" xfId="1" applyFont="1" applyFill="1" applyBorder="1"/>
    <xf numFmtId="0" fontId="14" fillId="5" borderId="7" xfId="0" applyFont="1" applyFill="1" applyBorder="1"/>
    <xf numFmtId="4" fontId="14" fillId="5" borderId="7" xfId="0" applyNumberFormat="1" applyFont="1" applyFill="1" applyBorder="1"/>
    <xf numFmtId="0" fontId="16" fillId="4" borderId="9" xfId="0" applyFont="1" applyFill="1" applyBorder="1" applyAlignment="1">
      <alignment vertical="center"/>
    </xf>
    <xf numFmtId="0" fontId="0" fillId="0" borderId="0" xfId="0" applyAlignment="1">
      <alignment horizontal="left" vertical="center"/>
    </xf>
    <xf numFmtId="44" fontId="15" fillId="5" borderId="5" xfId="1" applyFont="1" applyFill="1" applyBorder="1" applyAlignment="1"/>
    <xf numFmtId="44" fontId="16" fillId="4" borderId="12" xfId="1" applyFont="1" applyFill="1" applyBorder="1" applyAlignment="1">
      <alignment horizontal="left" vertical="center" wrapText="1"/>
    </xf>
    <xf numFmtId="44" fontId="16" fillId="4" borderId="12" xfId="1" applyFont="1" applyFill="1" applyBorder="1" applyAlignment="1">
      <alignment horizontal="center" vertical="center" wrapText="1"/>
    </xf>
    <xf numFmtId="0" fontId="16" fillId="4" borderId="12" xfId="0" applyFont="1" applyFill="1" applyBorder="1" applyAlignment="1">
      <alignment horizontal="center" vertical="center" wrapText="1"/>
    </xf>
    <xf numFmtId="4" fontId="16" fillId="4" borderId="12" xfId="0" applyNumberFormat="1" applyFont="1" applyFill="1" applyBorder="1" applyAlignment="1">
      <alignment horizontal="center" vertical="center" wrapText="1"/>
    </xf>
    <xf numFmtId="0" fontId="16" fillId="4" borderId="2" xfId="0" applyFont="1" applyFill="1" applyBorder="1" applyAlignment="1">
      <alignment vertical="center"/>
    </xf>
    <xf numFmtId="0" fontId="5" fillId="2" borderId="1" xfId="0" applyFont="1" applyFill="1" applyBorder="1" applyAlignment="1">
      <alignment wrapText="1"/>
    </xf>
    <xf numFmtId="44" fontId="5" fillId="2" borderId="1" xfId="1" applyFont="1" applyFill="1" applyBorder="1" applyAlignment="1">
      <alignment horizontal="center" wrapText="1"/>
    </xf>
    <xf numFmtId="0" fontId="5" fillId="2" borderId="1" xfId="0" applyFont="1" applyFill="1" applyBorder="1" applyAlignment="1">
      <alignment horizontal="center" wrapText="1"/>
    </xf>
    <xf numFmtId="4" fontId="5" fillId="2" borderId="1" xfId="0" applyNumberFormat="1" applyFont="1" applyFill="1" applyBorder="1" applyAlignment="1">
      <alignment horizontal="center" wrapText="1"/>
    </xf>
    <xf numFmtId="0" fontId="15" fillId="2"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4" fillId="0" borderId="0" xfId="0" applyFont="1"/>
    <xf numFmtId="0" fontId="12" fillId="0" borderId="0" xfId="0" applyFont="1"/>
    <xf numFmtId="0" fontId="0" fillId="0" borderId="0" xfId="0" applyAlignment="1">
      <alignment vertical="center"/>
    </xf>
    <xf numFmtId="10" fontId="8" fillId="3" borderId="1" xfId="0" applyNumberFormat="1" applyFont="1" applyFill="1" applyBorder="1" applyAlignment="1">
      <alignment horizontal="center"/>
    </xf>
    <xf numFmtId="10" fontId="12" fillId="4" borderId="1" xfId="0" applyNumberFormat="1" applyFont="1" applyFill="1" applyBorder="1"/>
    <xf numFmtId="10" fontId="0" fillId="0" borderId="0" xfId="0" applyNumberFormat="1"/>
    <xf numFmtId="10" fontId="0" fillId="2" borderId="1" xfId="4" applyNumberFormat="1" applyFont="1" applyFill="1" applyBorder="1" applyAlignment="1">
      <alignment horizontal="center"/>
    </xf>
    <xf numFmtId="10" fontId="12" fillId="4" borderId="1" xfId="0" applyNumberFormat="1" applyFont="1" applyFill="1" applyBorder="1" applyAlignment="1">
      <alignment horizontal="center"/>
    </xf>
    <xf numFmtId="10" fontId="16" fillId="5" borderId="0" xfId="3" applyNumberFormat="1" applyFont="1" applyFill="1" applyBorder="1" applyAlignment="1">
      <alignment horizontal="left"/>
    </xf>
    <xf numFmtId="10" fontId="0" fillId="2" borderId="1" xfId="4" applyNumberFormat="1" applyFont="1" applyFill="1" applyBorder="1"/>
    <xf numFmtId="164" fontId="0" fillId="2" borderId="1" xfId="3" applyNumberFormat="1" applyFont="1" applyFill="1" applyBorder="1"/>
    <xf numFmtId="164" fontId="0" fillId="2" borderId="1" xfId="0" applyNumberFormat="1" applyFill="1" applyBorder="1"/>
    <xf numFmtId="164" fontId="0" fillId="0" borderId="1" xfId="0" applyNumberFormat="1" applyBorder="1"/>
    <xf numFmtId="10" fontId="0" fillId="0" borderId="1" xfId="0" applyNumberFormat="1" applyBorder="1"/>
    <xf numFmtId="10" fontId="0" fillId="0" borderId="1" xfId="3" applyNumberFormat="1" applyFont="1" applyBorder="1"/>
    <xf numFmtId="0" fontId="17" fillId="3" borderId="14" xfId="0" applyFont="1" applyFill="1" applyBorder="1" applyAlignment="1">
      <alignment horizontal="center"/>
    </xf>
    <xf numFmtId="10" fontId="17" fillId="3" borderId="15" xfId="0" applyNumberFormat="1" applyFont="1" applyFill="1" applyBorder="1" applyAlignment="1">
      <alignment horizontal="center"/>
    </xf>
    <xf numFmtId="0" fontId="17" fillId="3" borderId="15" xfId="0" applyFont="1" applyFill="1" applyBorder="1" applyAlignment="1">
      <alignment horizontal="center"/>
    </xf>
    <xf numFmtId="44" fontId="17" fillId="3" borderId="16" xfId="1" applyFont="1" applyFill="1" applyBorder="1" applyAlignment="1">
      <alignment horizontal="center"/>
    </xf>
    <xf numFmtId="0" fontId="18" fillId="2" borderId="17" xfId="0" applyFont="1" applyFill="1" applyBorder="1"/>
    <xf numFmtId="164" fontId="0" fillId="2" borderId="18" xfId="1" applyNumberFormat="1" applyFont="1" applyFill="1" applyBorder="1"/>
    <xf numFmtId="0" fontId="19" fillId="4" borderId="17" xfId="2" applyFont="1" applyFill="1" applyBorder="1" applyAlignment="1">
      <alignment horizontal="left"/>
    </xf>
    <xf numFmtId="0" fontId="20" fillId="0" borderId="17" xfId="2" applyFont="1" applyBorder="1" applyAlignment="1">
      <alignment horizontal="left"/>
    </xf>
    <xf numFmtId="10" fontId="0" fillId="0" borderId="18" xfId="3" applyNumberFormat="1" applyFont="1" applyBorder="1"/>
    <xf numFmtId="0" fontId="20" fillId="0" borderId="17" xfId="2" applyFont="1" applyBorder="1"/>
    <xf numFmtId="10" fontId="0" fillId="0" borderId="18" xfId="0" applyNumberFormat="1" applyBorder="1"/>
    <xf numFmtId="0" fontId="5" fillId="2" borderId="1" xfId="0" applyFont="1" applyFill="1" applyBorder="1" applyAlignment="1">
      <alignment vertical="center" wrapText="1"/>
    </xf>
    <xf numFmtId="0" fontId="0" fillId="0" borderId="0" xfId="0" applyAlignment="1">
      <alignment vertical="top" wrapText="1"/>
    </xf>
    <xf numFmtId="0" fontId="0" fillId="0" borderId="0" xfId="0" applyAlignment="1">
      <alignment vertical="top"/>
    </xf>
    <xf numFmtId="10" fontId="23" fillId="0" borderId="0" xfId="0" applyNumberFormat="1" applyFont="1" applyAlignment="1">
      <alignment vertical="top" wrapText="1"/>
    </xf>
    <xf numFmtId="10" fontId="23" fillId="0" borderId="0" xfId="0" applyNumberFormat="1" applyFont="1" applyAlignment="1">
      <alignment vertical="top"/>
    </xf>
    <xf numFmtId="44" fontId="22" fillId="4" borderId="19" xfId="1" applyFont="1" applyFill="1" applyBorder="1" applyAlignment="1">
      <alignment horizontal="right" vertical="center" wrapText="1"/>
    </xf>
    <xf numFmtId="0" fontId="16" fillId="4" borderId="20" xfId="0" applyFont="1" applyFill="1" applyBorder="1" applyAlignment="1">
      <alignment horizontal="left" vertical="center"/>
    </xf>
    <xf numFmtId="0" fontId="15" fillId="4" borderId="22" xfId="0" applyFont="1" applyFill="1" applyBorder="1" applyAlignment="1">
      <alignment vertical="center"/>
    </xf>
    <xf numFmtId="164" fontId="0" fillId="2" borderId="3" xfId="0" applyNumberFormat="1" applyFill="1" applyBorder="1"/>
    <xf numFmtId="4" fontId="5" fillId="4" borderId="1" xfId="0" applyNumberFormat="1" applyFont="1" applyFill="1" applyBorder="1" applyAlignment="1">
      <alignment horizontal="center" wrapText="1"/>
    </xf>
    <xf numFmtId="44" fontId="15" fillId="5" borderId="27" xfId="1" applyFont="1" applyFill="1" applyBorder="1" applyAlignment="1"/>
    <xf numFmtId="4" fontId="16" fillId="5" borderId="0" xfId="0" applyNumberFormat="1" applyFont="1" applyFill="1"/>
    <xf numFmtId="44" fontId="16" fillId="5" borderId="29" xfId="1" applyFont="1" applyFill="1" applyBorder="1"/>
    <xf numFmtId="0" fontId="15" fillId="5" borderId="0" xfId="0" applyFont="1" applyFill="1"/>
    <xf numFmtId="4" fontId="15" fillId="5" borderId="0" xfId="0" applyNumberFormat="1" applyFont="1" applyFill="1"/>
    <xf numFmtId="44" fontId="15" fillId="5" borderId="29" xfId="1" applyFont="1" applyFill="1" applyBorder="1"/>
    <xf numFmtId="0" fontId="14" fillId="5" borderId="0" xfId="0" applyFont="1" applyFill="1"/>
    <xf numFmtId="4" fontId="14" fillId="5" borderId="0" xfId="0" applyNumberFormat="1" applyFont="1" applyFill="1"/>
    <xf numFmtId="44" fontId="14" fillId="5" borderId="29" xfId="1" applyFont="1" applyFill="1" applyBorder="1"/>
    <xf numFmtId="44" fontId="14" fillId="5" borderId="31" xfId="1" applyFont="1" applyFill="1" applyBorder="1"/>
    <xf numFmtId="0" fontId="4" fillId="4" borderId="17" xfId="0" applyFont="1" applyFill="1" applyBorder="1" applyAlignment="1">
      <alignment horizontal="left" vertical="center" wrapText="1"/>
    </xf>
    <xf numFmtId="44" fontId="16" fillId="4" borderId="32" xfId="1" applyFont="1" applyFill="1" applyBorder="1" applyAlignment="1">
      <alignment horizontal="center" vertical="center" wrapText="1"/>
    </xf>
    <xf numFmtId="44" fontId="4" fillId="4" borderId="34" xfId="0" applyNumberFormat="1" applyFont="1" applyFill="1" applyBorder="1" applyAlignment="1">
      <alignment vertical="center"/>
    </xf>
    <xf numFmtId="0" fontId="4" fillId="2" borderId="17" xfId="0" applyFont="1" applyFill="1" applyBorder="1" applyAlignment="1">
      <alignment horizontal="left" vertical="center"/>
    </xf>
    <xf numFmtId="44" fontId="5" fillId="2" borderId="18" xfId="1" applyFont="1" applyFill="1" applyBorder="1" applyAlignment="1">
      <alignment horizontal="center" wrapText="1"/>
    </xf>
    <xf numFmtId="0" fontId="19" fillId="4" borderId="35" xfId="2" applyFont="1" applyFill="1" applyBorder="1" applyAlignment="1">
      <alignment horizontal="left"/>
    </xf>
    <xf numFmtId="10" fontId="13" fillId="4" borderId="13" xfId="0" applyNumberFormat="1" applyFont="1" applyFill="1" applyBorder="1"/>
    <xf numFmtId="0" fontId="13" fillId="4" borderId="13" xfId="0" applyFont="1" applyFill="1" applyBorder="1"/>
    <xf numFmtId="164" fontId="13" fillId="4" borderId="13" xfId="0" applyNumberFormat="1" applyFont="1" applyFill="1" applyBorder="1"/>
    <xf numFmtId="164" fontId="13" fillId="4" borderId="42" xfId="1" applyNumberFormat="1" applyFont="1" applyFill="1" applyBorder="1"/>
    <xf numFmtId="164" fontId="13" fillId="2" borderId="5" xfId="0" applyNumberFormat="1" applyFont="1" applyFill="1" applyBorder="1"/>
    <xf numFmtId="10" fontId="21" fillId="0" borderId="0" xfId="0" applyNumberFormat="1" applyFont="1"/>
    <xf numFmtId="0" fontId="16" fillId="4" borderId="12" xfId="1" applyNumberFormat="1" applyFont="1" applyFill="1" applyBorder="1" applyAlignment="1">
      <alignment horizontal="center" vertical="center" wrapText="1"/>
    </xf>
    <xf numFmtId="44" fontId="1" fillId="2" borderId="0" xfId="1" applyFont="1" applyFill="1" applyBorder="1" applyAlignment="1">
      <alignment horizontal="center" wrapText="1"/>
    </xf>
    <xf numFmtId="44" fontId="6" fillId="2" borderId="0" xfId="1" applyFont="1" applyFill="1" applyBorder="1" applyAlignment="1">
      <alignment horizontal="center" wrapText="1"/>
    </xf>
    <xf numFmtId="8" fontId="1" fillId="2" borderId="0" xfId="1" applyNumberFormat="1" applyFont="1" applyFill="1" applyBorder="1" applyAlignment="1">
      <alignment horizontal="right" wrapText="1"/>
    </xf>
    <xf numFmtId="44" fontId="1" fillId="2" borderId="0" xfId="1" applyFont="1" applyFill="1" applyBorder="1" applyAlignment="1">
      <alignment horizontal="right" wrapText="1"/>
    </xf>
    <xf numFmtId="0" fontId="10" fillId="2" borderId="0" xfId="0" applyFont="1" applyFill="1" applyAlignment="1">
      <alignment vertical="center"/>
    </xf>
    <xf numFmtId="0" fontId="8" fillId="3" borderId="17" xfId="0" applyFont="1" applyFill="1" applyBorder="1" applyAlignment="1">
      <alignment horizontal="center"/>
    </xf>
    <xf numFmtId="0" fontId="8" fillId="3" borderId="18" xfId="0" applyFont="1" applyFill="1" applyBorder="1" applyAlignment="1">
      <alignment horizontal="center"/>
    </xf>
    <xf numFmtId="0" fontId="11" fillId="2" borderId="17" xfId="0" applyFont="1" applyFill="1" applyBorder="1"/>
    <xf numFmtId="0" fontId="3" fillId="4" borderId="17" xfId="2" applyFont="1" applyFill="1" applyBorder="1" applyAlignment="1">
      <alignment horizontal="left"/>
    </xf>
    <xf numFmtId="10" fontId="12" fillId="4" borderId="18" xfId="0" applyNumberFormat="1" applyFont="1" applyFill="1" applyBorder="1" applyAlignment="1">
      <alignment horizontal="center"/>
    </xf>
    <xf numFmtId="0" fontId="0" fillId="0" borderId="28" xfId="0" applyBorder="1"/>
    <xf numFmtId="0" fontId="0" fillId="0" borderId="29" xfId="0" applyBorder="1"/>
    <xf numFmtId="0" fontId="0" fillId="0" borderId="17" xfId="0" applyBorder="1"/>
    <xf numFmtId="0" fontId="0" fillId="0" borderId="35" xfId="0" applyBorder="1"/>
    <xf numFmtId="0" fontId="0" fillId="0" borderId="36" xfId="0" applyBorder="1"/>
    <xf numFmtId="0" fontId="9" fillId="6" borderId="0" xfId="0" applyFont="1" applyFill="1"/>
    <xf numFmtId="0" fontId="10" fillId="6" borderId="0" xfId="0" applyFont="1" applyFill="1" applyAlignment="1">
      <alignment vertical="center"/>
    </xf>
    <xf numFmtId="10" fontId="29" fillId="7" borderId="43" xfId="11" applyNumberFormat="1" applyFont="1" applyFill="1" applyBorder="1" applyAlignment="1">
      <alignment horizontal="center"/>
    </xf>
    <xf numFmtId="0" fontId="0" fillId="0" borderId="0" xfId="0" applyBorder="1"/>
    <xf numFmtId="164" fontId="12" fillId="4" borderId="18" xfId="0" applyNumberFormat="1" applyFont="1" applyFill="1" applyBorder="1"/>
    <xf numFmtId="164" fontId="13" fillId="2" borderId="27" xfId="1" applyNumberFormat="1" applyFont="1" applyFill="1" applyBorder="1"/>
    <xf numFmtId="164" fontId="13" fillId="2" borderId="0" xfId="0" applyNumberFormat="1" applyFont="1" applyFill="1" applyBorder="1"/>
    <xf numFmtId="164" fontId="13" fillId="2" borderId="29" xfId="1" applyNumberFormat="1" applyFont="1" applyFill="1" applyBorder="1"/>
    <xf numFmtId="0" fontId="0" fillId="2" borderId="0" xfId="0" applyFill="1" applyBorder="1"/>
    <xf numFmtId="44" fontId="7" fillId="2" borderId="29" xfId="1" applyFont="1" applyFill="1" applyBorder="1"/>
    <xf numFmtId="0" fontId="0" fillId="2" borderId="38" xfId="0" applyFill="1" applyBorder="1"/>
    <xf numFmtId="44" fontId="7" fillId="2" borderId="41" xfId="1" applyFont="1" applyFill="1" applyBorder="1"/>
    <xf numFmtId="0" fontId="0" fillId="6" borderId="0" xfId="0" applyFill="1"/>
    <xf numFmtId="44" fontId="1" fillId="6" borderId="0" xfId="1" applyFont="1" applyFill="1" applyBorder="1" applyAlignment="1">
      <alignment horizontal="right" wrapText="1"/>
    </xf>
    <xf numFmtId="44" fontId="0" fillId="6" borderId="0" xfId="0" applyNumberFormat="1" applyFill="1"/>
    <xf numFmtId="4" fontId="9" fillId="2" borderId="0" xfId="0" applyNumberFormat="1" applyFont="1" applyFill="1"/>
    <xf numFmtId="0" fontId="4" fillId="2" borderId="1" xfId="0" applyFont="1" applyFill="1" applyBorder="1" applyAlignment="1">
      <alignment horizontal="left" vertical="center"/>
    </xf>
    <xf numFmtId="0" fontId="4" fillId="4" borderId="33" xfId="0" applyFont="1" applyFill="1" applyBorder="1" applyAlignment="1">
      <alignment horizontal="left" vertical="center"/>
    </xf>
    <xf numFmtId="0" fontId="16" fillId="4" borderId="2" xfId="0" applyFont="1" applyFill="1" applyBorder="1" applyAlignment="1">
      <alignment horizontal="center" vertical="center" wrapText="1"/>
    </xf>
    <xf numFmtId="0" fontId="16" fillId="4" borderId="3" xfId="0" applyFont="1" applyFill="1" applyBorder="1" applyAlignment="1">
      <alignment vertical="center"/>
    </xf>
    <xf numFmtId="44" fontId="4" fillId="4" borderId="2" xfId="1" applyFont="1" applyFill="1" applyBorder="1" applyAlignment="1">
      <alignment horizontal="center" wrapText="1"/>
    </xf>
    <xf numFmtId="0" fontId="4" fillId="4" borderId="2" xfId="0" applyFont="1" applyFill="1" applyBorder="1" applyAlignment="1">
      <alignment horizontal="center" wrapText="1"/>
    </xf>
    <xf numFmtId="4" fontId="4" fillId="4" borderId="2" xfId="0" applyNumberFormat="1" applyFont="1" applyFill="1" applyBorder="1" applyAlignment="1">
      <alignment horizontal="center" wrapText="1"/>
    </xf>
    <xf numFmtId="44" fontId="4" fillId="4" borderId="34" xfId="1" applyFont="1" applyFill="1" applyBorder="1" applyAlignment="1">
      <alignment horizontal="center" wrapText="1"/>
    </xf>
    <xf numFmtId="44" fontId="5" fillId="2" borderId="13" xfId="1" applyFont="1" applyFill="1" applyBorder="1" applyAlignment="1">
      <alignment horizontal="center" wrapText="1"/>
    </xf>
    <xf numFmtId="0" fontId="4" fillId="2" borderId="35" xfId="0" applyFont="1" applyFill="1" applyBorder="1" applyAlignment="1">
      <alignment horizontal="left" vertical="center"/>
    </xf>
    <xf numFmtId="0" fontId="15" fillId="2" borderId="13" xfId="0" applyFont="1" applyFill="1" applyBorder="1" applyAlignment="1">
      <alignment horizontal="center" vertical="center" wrapText="1"/>
    </xf>
    <xf numFmtId="0" fontId="5" fillId="2" borderId="13" xfId="0" applyFont="1" applyFill="1" applyBorder="1" applyAlignment="1">
      <alignment wrapText="1"/>
    </xf>
    <xf numFmtId="0" fontId="5" fillId="2" borderId="13" xfId="0" applyFont="1" applyFill="1" applyBorder="1" applyAlignment="1">
      <alignment horizontal="center" wrapText="1"/>
    </xf>
    <xf numFmtId="4" fontId="5" fillId="2" borderId="13" xfId="0" applyNumberFormat="1" applyFont="1" applyFill="1" applyBorder="1" applyAlignment="1">
      <alignment horizontal="center" wrapText="1"/>
    </xf>
    <xf numFmtId="44" fontId="0" fillId="2" borderId="0" xfId="0" applyNumberFormat="1" applyFill="1"/>
    <xf numFmtId="0" fontId="16" fillId="4" borderId="5" xfId="0" applyFont="1" applyFill="1" applyBorder="1" applyAlignment="1">
      <alignment vertical="center"/>
    </xf>
    <xf numFmtId="44" fontId="4" fillId="4" borderId="27" xfId="0" applyNumberFormat="1" applyFont="1" applyFill="1" applyBorder="1" applyAlignment="1">
      <alignment vertical="center"/>
    </xf>
    <xf numFmtId="0" fontId="4" fillId="4" borderId="3" xfId="0" applyFont="1" applyFill="1" applyBorder="1" applyAlignment="1">
      <alignment wrapText="1"/>
    </xf>
    <xf numFmtId="44" fontId="5" fillId="4" borderId="2" xfId="1" applyFont="1" applyFill="1" applyBorder="1" applyAlignment="1">
      <alignment horizontal="center" wrapText="1"/>
    </xf>
    <xf numFmtId="0" fontId="5" fillId="4" borderId="2" xfId="0" applyFont="1" applyFill="1" applyBorder="1" applyAlignment="1">
      <alignment horizontal="center" wrapText="1"/>
    </xf>
    <xf numFmtId="4" fontId="5" fillId="4" borderId="2" xfId="0" applyNumberFormat="1" applyFont="1" applyFill="1" applyBorder="1" applyAlignment="1">
      <alignment horizontal="center" wrapText="1"/>
    </xf>
    <xf numFmtId="0" fontId="4" fillId="2" borderId="36" xfId="0" applyFont="1" applyFill="1" applyBorder="1" applyAlignment="1">
      <alignment horizontal="left" vertical="center"/>
    </xf>
    <xf numFmtId="0" fontId="15" fillId="2" borderId="12" xfId="0" applyFont="1" applyFill="1" applyBorder="1" applyAlignment="1">
      <alignment horizontal="center" vertical="center" wrapText="1"/>
    </xf>
    <xf numFmtId="0" fontId="5" fillId="2" borderId="12" xfId="0" applyFont="1" applyFill="1" applyBorder="1" applyAlignment="1">
      <alignment wrapText="1"/>
    </xf>
    <xf numFmtId="44" fontId="5" fillId="2" borderId="12" xfId="1" applyFont="1" applyFill="1" applyBorder="1" applyAlignment="1">
      <alignment horizontal="center" wrapText="1"/>
    </xf>
    <xf numFmtId="0" fontId="5" fillId="2" borderId="12" xfId="0" applyFont="1" applyFill="1" applyBorder="1" applyAlignment="1">
      <alignment horizontal="center" wrapText="1"/>
    </xf>
    <xf numFmtId="4" fontId="5" fillId="2" borderId="12" xfId="0" applyNumberFormat="1" applyFont="1" applyFill="1" applyBorder="1" applyAlignment="1">
      <alignment horizontal="center" wrapText="1"/>
    </xf>
    <xf numFmtId="44" fontId="5" fillId="2" borderId="32" xfId="1" applyFont="1" applyFill="1" applyBorder="1" applyAlignment="1">
      <alignment horizontal="center" wrapText="1"/>
    </xf>
    <xf numFmtId="0" fontId="4" fillId="2" borderId="13" xfId="0" applyFont="1" applyFill="1" applyBorder="1" applyAlignment="1">
      <alignment horizontal="left" vertical="center"/>
    </xf>
    <xf numFmtId="0" fontId="0" fillId="0" borderId="28" xfId="0" applyBorder="1" applyAlignment="1">
      <alignment horizontal="center"/>
    </xf>
    <xf numFmtId="0" fontId="0" fillId="0" borderId="0" xfId="0" applyAlignment="1">
      <alignment horizontal="center"/>
    </xf>
    <xf numFmtId="0" fontId="0" fillId="0" borderId="6" xfId="0" applyBorder="1" applyAlignment="1">
      <alignment horizontal="center"/>
    </xf>
    <xf numFmtId="44" fontId="0" fillId="0" borderId="10" xfId="1" applyFont="1" applyBorder="1" applyAlignment="1">
      <alignment horizontal="center"/>
    </xf>
    <xf numFmtId="44" fontId="7" fillId="0" borderId="0" xfId="1" applyFont="1" applyBorder="1" applyAlignment="1">
      <alignment horizontal="center"/>
    </xf>
    <xf numFmtId="44" fontId="7" fillId="0" borderId="29" xfId="1" applyFont="1" applyBorder="1" applyAlignment="1">
      <alignment horizontal="center"/>
    </xf>
    <xf numFmtId="44" fontId="7" fillId="0" borderId="10" xfId="1" applyFont="1" applyBorder="1" applyAlignment="1">
      <alignment horizontal="center"/>
    </xf>
    <xf numFmtId="0" fontId="15" fillId="0" borderId="28" xfId="0" applyFont="1" applyBorder="1" applyAlignment="1">
      <alignment horizontal="center" vertical="center"/>
    </xf>
    <xf numFmtId="0" fontId="15" fillId="0" borderId="0" xfId="0" applyFont="1" applyAlignment="1">
      <alignment horizontal="center" vertical="center"/>
    </xf>
    <xf numFmtId="0" fontId="15" fillId="0" borderId="6" xfId="0" applyFont="1" applyBorder="1" applyAlignment="1">
      <alignment horizontal="center" vertical="center"/>
    </xf>
    <xf numFmtId="0" fontId="15" fillId="0" borderId="37"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44" fontId="15" fillId="0" borderId="10" xfId="1" applyFont="1" applyBorder="1" applyAlignment="1">
      <alignment horizontal="center"/>
    </xf>
    <xf numFmtId="44" fontId="15" fillId="0" borderId="40" xfId="1" applyFont="1" applyBorder="1" applyAlignment="1">
      <alignment horizontal="center"/>
    </xf>
    <xf numFmtId="44" fontId="15" fillId="0" borderId="38" xfId="1" applyFont="1" applyBorder="1" applyAlignment="1">
      <alignment horizontal="center"/>
    </xf>
    <xf numFmtId="44" fontId="15" fillId="0" borderId="41" xfId="1" applyFont="1" applyBorder="1" applyAlignment="1">
      <alignment horizontal="center"/>
    </xf>
    <xf numFmtId="0" fontId="4" fillId="4" borderId="33" xfId="0" applyFont="1" applyFill="1" applyBorder="1" applyAlignment="1">
      <alignment horizontal="left"/>
    </xf>
    <xf numFmtId="0" fontId="4" fillId="4" borderId="4" xfId="0" applyFont="1" applyFill="1" applyBorder="1" applyAlignment="1">
      <alignment horizontal="left"/>
    </xf>
    <xf numFmtId="0" fontId="22" fillId="4" borderId="20" xfId="0" applyFont="1" applyFill="1" applyBorder="1" applyAlignment="1">
      <alignment horizontal="right" vertical="center" wrapText="1"/>
    </xf>
    <xf numFmtId="0" fontId="22" fillId="4" borderId="21" xfId="0" applyFont="1" applyFill="1" applyBorder="1" applyAlignment="1">
      <alignment horizontal="right" vertical="center" wrapText="1"/>
    </xf>
    <xf numFmtId="0" fontId="22" fillId="4" borderId="22" xfId="0" applyFont="1" applyFill="1" applyBorder="1" applyAlignment="1">
      <alignment horizontal="right" vertical="center" wrapText="1"/>
    </xf>
    <xf numFmtId="0" fontId="4" fillId="4" borderId="26" xfId="0" applyFont="1" applyFill="1" applyBorder="1" applyAlignment="1">
      <alignment horizontal="left"/>
    </xf>
    <xf numFmtId="0" fontId="4" fillId="4" borderId="11" xfId="0" applyFont="1" applyFill="1" applyBorder="1" applyAlignment="1">
      <alignment horizontal="left"/>
    </xf>
    <xf numFmtId="0" fontId="4" fillId="4" borderId="33" xfId="0" applyFont="1" applyFill="1" applyBorder="1" applyAlignment="1">
      <alignment horizontal="left" vertical="center"/>
    </xf>
    <xf numFmtId="0" fontId="4" fillId="4" borderId="4" xfId="0" applyFont="1" applyFill="1" applyBorder="1" applyAlignment="1">
      <alignment horizontal="left" vertical="center"/>
    </xf>
    <xf numFmtId="0" fontId="4" fillId="4" borderId="2" xfId="0" applyFont="1" applyFill="1" applyBorder="1" applyAlignment="1">
      <alignment horizontal="left" vertical="center"/>
    </xf>
    <xf numFmtId="0" fontId="15" fillId="5" borderId="28" xfId="0" applyFont="1" applyFill="1" applyBorder="1" applyAlignment="1">
      <alignment horizontal="left" vertical="center"/>
    </xf>
    <xf numFmtId="0" fontId="15" fillId="5" borderId="0" xfId="0" applyFont="1" applyFill="1" applyAlignment="1">
      <alignment horizontal="left" vertical="center"/>
    </xf>
    <xf numFmtId="0" fontId="15" fillId="5" borderId="6" xfId="0" applyFont="1" applyFill="1" applyBorder="1" applyAlignment="1">
      <alignment horizontal="left" vertical="center"/>
    </xf>
    <xf numFmtId="0" fontId="25" fillId="0" borderId="23" xfId="0" applyFont="1" applyBorder="1" applyAlignment="1">
      <alignment horizontal="right" vertical="center" wrapText="1"/>
    </xf>
    <xf numFmtId="0" fontId="25" fillId="0" borderId="24" xfId="0" applyFont="1" applyBorder="1" applyAlignment="1">
      <alignment horizontal="right" vertical="center"/>
    </xf>
    <xf numFmtId="0" fontId="25" fillId="0" borderId="25" xfId="0" applyFont="1" applyBorder="1" applyAlignment="1">
      <alignment horizontal="right" vertical="center"/>
    </xf>
    <xf numFmtId="0" fontId="15" fillId="5" borderId="26" xfId="0" applyFont="1" applyFill="1" applyBorder="1" applyAlignment="1">
      <alignment horizontal="left" vertical="center"/>
    </xf>
    <xf numFmtId="0" fontId="15" fillId="5" borderId="5" xfId="0" applyFont="1" applyFill="1" applyBorder="1" applyAlignment="1">
      <alignment horizontal="left" vertical="center"/>
    </xf>
    <xf numFmtId="0" fontId="15" fillId="5" borderId="11" xfId="0" applyFont="1" applyFill="1" applyBorder="1" applyAlignment="1">
      <alignment horizontal="left" vertical="center"/>
    </xf>
    <xf numFmtId="0" fontId="15" fillId="5" borderId="30" xfId="0" applyFont="1" applyFill="1" applyBorder="1" applyAlignment="1">
      <alignment horizontal="left" vertical="center"/>
    </xf>
    <xf numFmtId="0" fontId="15" fillId="5" borderId="7" xfId="0" applyFont="1" applyFill="1" applyBorder="1" applyAlignment="1">
      <alignment horizontal="left" vertical="center"/>
    </xf>
    <xf numFmtId="0" fontId="15" fillId="5" borderId="8" xfId="0" applyFont="1" applyFill="1" applyBorder="1" applyAlignment="1">
      <alignment horizontal="left" vertical="center"/>
    </xf>
    <xf numFmtId="0" fontId="26" fillId="0" borderId="44" xfId="0" applyFont="1" applyBorder="1" applyAlignment="1">
      <alignment horizontal="right" vertical="center" wrapText="1"/>
    </xf>
    <xf numFmtId="0" fontId="26" fillId="0" borderId="45" xfId="0" applyFont="1" applyBorder="1" applyAlignment="1">
      <alignment horizontal="right" vertical="center" wrapText="1"/>
    </xf>
    <xf numFmtId="0" fontId="26" fillId="0" borderId="46" xfId="0" applyFont="1" applyBorder="1" applyAlignment="1">
      <alignment horizontal="right" vertical="center" wrapText="1"/>
    </xf>
    <xf numFmtId="0" fontId="19" fillId="2" borderId="26" xfId="2" applyFont="1" applyFill="1" applyBorder="1" applyAlignment="1">
      <alignment horizontal="left"/>
    </xf>
    <xf numFmtId="0" fontId="19" fillId="2" borderId="5" xfId="2" applyFont="1" applyFill="1" applyBorder="1" applyAlignment="1">
      <alignment horizontal="left"/>
    </xf>
    <xf numFmtId="0" fontId="19" fillId="2" borderId="28" xfId="2" applyFont="1" applyFill="1" applyBorder="1" applyAlignment="1">
      <alignment horizontal="left"/>
    </xf>
    <xf numFmtId="0" fontId="19" fillId="2" borderId="0" xfId="2" applyFont="1" applyFill="1" applyBorder="1" applyAlignment="1">
      <alignment horizontal="left"/>
    </xf>
    <xf numFmtId="0" fontId="0" fillId="2" borderId="28" xfId="0" applyFill="1" applyBorder="1"/>
    <xf numFmtId="0" fontId="0" fillId="2" borderId="0" xfId="0" applyFill="1" applyBorder="1"/>
    <xf numFmtId="0" fontId="30" fillId="2" borderId="28" xfId="0" applyFont="1" applyFill="1" applyBorder="1" applyAlignment="1">
      <alignment horizontal="center"/>
    </xf>
    <xf numFmtId="0" fontId="30" fillId="2" borderId="0" xfId="0" applyFont="1" applyFill="1" applyBorder="1" applyAlignment="1">
      <alignment horizontal="center"/>
    </xf>
    <xf numFmtId="0" fontId="30" fillId="2" borderId="37" xfId="0" applyFont="1" applyFill="1" applyBorder="1" applyAlignment="1">
      <alignment horizontal="center"/>
    </xf>
    <xf numFmtId="0" fontId="30" fillId="2" borderId="38" xfId="0" applyFont="1" applyFill="1" applyBorder="1" applyAlignment="1">
      <alignment horizontal="center"/>
    </xf>
    <xf numFmtId="44" fontId="30" fillId="2" borderId="0" xfId="0" applyNumberFormat="1" applyFont="1" applyFill="1" applyBorder="1" applyAlignment="1">
      <alignment horizontal="center"/>
    </xf>
    <xf numFmtId="44" fontId="30" fillId="2" borderId="38" xfId="0" applyNumberFormat="1" applyFont="1" applyFill="1" applyBorder="1" applyAlignment="1">
      <alignment horizontal="center"/>
    </xf>
    <xf numFmtId="44" fontId="23" fillId="0" borderId="37" xfId="0" applyNumberFormat="1" applyFont="1" applyBorder="1" applyAlignment="1">
      <alignment horizontal="center" vertical="top"/>
    </xf>
    <xf numFmtId="10" fontId="23" fillId="0" borderId="38" xfId="0" applyNumberFormat="1" applyFont="1" applyBorder="1" applyAlignment="1">
      <alignment horizontal="center" vertical="top"/>
    </xf>
    <xf numFmtId="10" fontId="23" fillId="0" borderId="41" xfId="0" applyNumberFormat="1" applyFont="1" applyBorder="1" applyAlignment="1">
      <alignment horizontal="center" vertical="top"/>
    </xf>
    <xf numFmtId="0" fontId="24" fillId="0" borderId="14" xfId="0" applyFont="1" applyBorder="1" applyAlignment="1">
      <alignment horizontal="right" vertical="center" wrapText="1"/>
    </xf>
    <xf numFmtId="0" fontId="24" fillId="0" borderId="15" xfId="0" applyFont="1" applyBorder="1" applyAlignment="1">
      <alignment horizontal="right" vertical="center" wrapText="1"/>
    </xf>
    <xf numFmtId="0" fontId="24" fillId="0" borderId="16" xfId="0" applyFont="1" applyBorder="1" applyAlignment="1">
      <alignment horizontal="right" vertical="center" wrapText="1"/>
    </xf>
    <xf numFmtId="0" fontId="0" fillId="0" borderId="28" xfId="0" applyBorder="1"/>
    <xf numFmtId="0" fontId="0" fillId="0" borderId="0" xfId="0"/>
    <xf numFmtId="0" fontId="0" fillId="0" borderId="29" xfId="0" applyBorder="1"/>
    <xf numFmtId="10" fontId="21" fillId="0" borderId="28" xfId="0" applyNumberFormat="1" applyFont="1" applyBorder="1" applyAlignment="1">
      <alignment horizontal="center"/>
    </xf>
    <xf numFmtId="10" fontId="21" fillId="0" borderId="0" xfId="0" applyNumberFormat="1" applyFont="1" applyAlignment="1">
      <alignment horizontal="center"/>
    </xf>
    <xf numFmtId="10" fontId="21" fillId="0" borderId="29" xfId="0" applyNumberFormat="1" applyFont="1" applyBorder="1" applyAlignment="1">
      <alignment horizontal="center"/>
    </xf>
    <xf numFmtId="10" fontId="0" fillId="0" borderId="28" xfId="0" applyNumberFormat="1" applyBorder="1" applyAlignment="1">
      <alignment horizontal="center"/>
    </xf>
    <xf numFmtId="10" fontId="0" fillId="0" borderId="0" xfId="0" applyNumberFormat="1" applyAlignment="1">
      <alignment horizontal="center"/>
    </xf>
    <xf numFmtId="10" fontId="0" fillId="0" borderId="29" xfId="0" applyNumberFormat="1" applyBorder="1" applyAlignment="1">
      <alignment horizontal="center"/>
    </xf>
    <xf numFmtId="10" fontId="23" fillId="0" borderId="26" xfId="0" applyNumberFormat="1" applyFont="1" applyBorder="1" applyAlignment="1">
      <alignment horizontal="center" vertical="top" wrapText="1"/>
    </xf>
    <xf numFmtId="10" fontId="23" fillId="0" borderId="5" xfId="0" applyNumberFormat="1" applyFont="1" applyBorder="1" applyAlignment="1">
      <alignment horizontal="center" vertical="top" wrapText="1"/>
    </xf>
    <xf numFmtId="10" fontId="23" fillId="0" borderId="27" xfId="0" applyNumberFormat="1" applyFont="1" applyBorder="1" applyAlignment="1">
      <alignment horizontal="center" vertical="top" wrapText="1"/>
    </xf>
    <xf numFmtId="10" fontId="23" fillId="0" borderId="28" xfId="0" applyNumberFormat="1" applyFont="1" applyBorder="1" applyAlignment="1">
      <alignment horizontal="center" vertical="top"/>
    </xf>
    <xf numFmtId="10" fontId="23" fillId="0" borderId="0" xfId="0" applyNumberFormat="1" applyFont="1" applyAlignment="1">
      <alignment horizontal="center" vertical="top"/>
    </xf>
    <xf numFmtId="10" fontId="23" fillId="0" borderId="29" xfId="0" applyNumberFormat="1" applyFont="1" applyBorder="1" applyAlignment="1">
      <alignment horizontal="center" vertical="top"/>
    </xf>
    <xf numFmtId="44" fontId="23" fillId="0" borderId="28" xfId="0" applyNumberFormat="1" applyFont="1" applyBorder="1" applyAlignment="1">
      <alignment horizontal="center" vertical="top"/>
    </xf>
  </cellXfs>
  <cellStyles count="12">
    <cellStyle name="Moeda" xfId="1" builtinId="4"/>
    <cellStyle name="Moeda 3" xfId="7" xr:uid="{00000000-0005-0000-0000-000001000000}"/>
    <cellStyle name="Moeda 4" xfId="10" xr:uid="{00000000-0005-0000-0000-000002000000}"/>
    <cellStyle name="Normal" xfId="0" builtinId="0"/>
    <cellStyle name="Normal 2" xfId="2" xr:uid="{00000000-0005-0000-0000-000004000000}"/>
    <cellStyle name="Normal 3" xfId="6" xr:uid="{00000000-0005-0000-0000-000005000000}"/>
    <cellStyle name="Normal 4" xfId="9" xr:uid="{00000000-0005-0000-0000-000006000000}"/>
    <cellStyle name="Normal 5" xfId="11" xr:uid="{00000000-0005-0000-0000-000007000000}"/>
    <cellStyle name="Porcentagem" xfId="3" builtinId="5"/>
    <cellStyle name="Separador de milhares 2" xfId="5" xr:uid="{00000000-0005-0000-0000-000009000000}"/>
    <cellStyle name="Separador de milhares 3" xfId="8" xr:uid="{00000000-0005-0000-0000-00000A000000}"/>
    <cellStyle name="Vírgula" xfId="4"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5</xdr:col>
      <xdr:colOff>436562</xdr:colOff>
      <xdr:row>223</xdr:row>
      <xdr:rowOff>0</xdr:rowOff>
    </xdr:from>
    <xdr:ext cx="184731" cy="264560"/>
    <xdr:sp macro="" textlink="">
      <xdr:nvSpPr>
        <xdr:cNvPr id="5" name="CaixaDeTexto 4">
          <a:extLst>
            <a:ext uri="{FF2B5EF4-FFF2-40B4-BE49-F238E27FC236}">
              <a16:creationId xmlns:a16="http://schemas.microsoft.com/office/drawing/2014/main" id="{00000000-0008-0000-0000-000005000000}"/>
            </a:ext>
          </a:extLst>
        </xdr:cNvPr>
        <xdr:cNvSpPr txBox="1"/>
      </xdr:nvSpPr>
      <xdr:spPr>
        <a:xfrm>
          <a:off x="7620000" y="3500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pt-BR"/>
        </a:p>
      </xdr:txBody>
    </xdr:sp>
    <xdr:clientData/>
  </xdr:oneCellAnchor>
  <xdr:oneCellAnchor>
    <xdr:from>
      <xdr:col>0</xdr:col>
      <xdr:colOff>140493</xdr:colOff>
      <xdr:row>0</xdr:row>
      <xdr:rowOff>119063</xdr:rowOff>
    </xdr:from>
    <xdr:ext cx="3124200" cy="971550"/>
    <xdr:pic>
      <xdr:nvPicPr>
        <xdr:cNvPr id="8" name="image1.jpg" descr="C:\Users\Usuário\Desktop\2021\LOGO.jpg" title="Imagem">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1" cstate="print"/>
        <a:stretch>
          <a:fillRect/>
        </a:stretch>
      </xdr:blipFill>
      <xdr:spPr>
        <a:xfrm>
          <a:off x="140493" y="119063"/>
          <a:ext cx="3124200" cy="9715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1234440</xdr:colOff>
      <xdr:row>0</xdr:row>
      <xdr:rowOff>228600</xdr:rowOff>
    </xdr:from>
    <xdr:ext cx="5166360" cy="1493520"/>
    <xdr:pic>
      <xdr:nvPicPr>
        <xdr:cNvPr id="5" name="image1.jpg" descr="C:\Users\Usuário\Desktop\2021\LOGO.jpg" title="Imagem">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234440" y="228600"/>
          <a:ext cx="5166360" cy="149352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434340</xdr:colOff>
      <xdr:row>0</xdr:row>
      <xdr:rowOff>91440</xdr:rowOff>
    </xdr:from>
    <xdr:ext cx="2529840" cy="980122"/>
    <xdr:pic>
      <xdr:nvPicPr>
        <xdr:cNvPr id="4" name="image1.jpg" descr="C:\Users\Usuário\Desktop\2021\LOGO.jpg" title="Imagem">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1" cstate="print"/>
        <a:stretch>
          <a:fillRect/>
        </a:stretch>
      </xdr:blipFill>
      <xdr:spPr>
        <a:xfrm>
          <a:off x="1041559" y="91440"/>
          <a:ext cx="2529840" cy="980122"/>
        </a:xfrm>
        <a:prstGeom prst="rect">
          <a:avLst/>
        </a:prstGeom>
        <a:noFill/>
      </xdr:spPr>
    </xdr:pic>
    <xdr:clientData fLocksWithSheet="0"/>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35"/>
  <sheetViews>
    <sheetView tabSelected="1" view="pageBreakPreview" topLeftCell="A14" zoomScale="80" zoomScaleNormal="80" zoomScaleSheetLayoutView="80" zoomScalePageLayoutView="90" workbookViewId="0">
      <selection activeCell="G11" sqref="G11"/>
    </sheetView>
  </sheetViews>
  <sheetFormatPr defaultRowHeight="15" x14ac:dyDescent="0.25"/>
  <cols>
    <col min="1" max="1" width="9.85546875" style="21" customWidth="1"/>
    <col min="2" max="2" width="21.28515625" style="36" customWidth="1"/>
    <col min="3" max="3" width="73.140625" style="2" customWidth="1"/>
    <col min="4" max="4" width="17.85546875" style="3" customWidth="1"/>
    <col min="5" max="5" width="21" style="3" customWidth="1"/>
    <col min="6" max="6" width="21.7109375" customWidth="1"/>
    <col min="7" max="7" width="17.28515625" customWidth="1"/>
    <col min="8" max="8" width="19.42578125" style="1" customWidth="1"/>
    <col min="9" max="9" width="26.7109375" style="3" customWidth="1"/>
    <col min="10" max="10" width="17.7109375" customWidth="1"/>
    <col min="11" max="11" width="20" customWidth="1"/>
    <col min="12" max="13" width="14" bestFit="1" customWidth="1"/>
    <col min="15" max="15" width="13.140625" bestFit="1" customWidth="1"/>
    <col min="16" max="16" width="13.85546875" bestFit="1" customWidth="1"/>
  </cols>
  <sheetData>
    <row r="1" spans="1:11" s="34" customFormat="1" ht="115.5" customHeight="1" x14ac:dyDescent="0.2">
      <c r="A1" s="183" t="s">
        <v>186</v>
      </c>
      <c r="B1" s="184"/>
      <c r="C1" s="184"/>
      <c r="D1" s="184"/>
      <c r="E1" s="184"/>
      <c r="F1" s="184"/>
      <c r="G1" s="184"/>
      <c r="H1" s="184"/>
      <c r="I1" s="185"/>
      <c r="K1" s="93"/>
    </row>
    <row r="2" spans="1:11" s="34" customFormat="1" x14ac:dyDescent="0.2">
      <c r="A2" s="186" t="s">
        <v>3</v>
      </c>
      <c r="B2" s="187"/>
      <c r="C2" s="188"/>
      <c r="D2" s="10"/>
      <c r="E2" s="11"/>
      <c r="F2" s="12"/>
      <c r="G2" s="12"/>
      <c r="H2" s="22"/>
      <c r="I2" s="70"/>
      <c r="K2" s="93"/>
    </row>
    <row r="3" spans="1:11" s="35" customFormat="1" ht="15.75" x14ac:dyDescent="0.25">
      <c r="A3" s="180" t="s">
        <v>17</v>
      </c>
      <c r="B3" s="181"/>
      <c r="C3" s="182"/>
      <c r="D3" s="13"/>
      <c r="E3" s="14" t="s">
        <v>4</v>
      </c>
      <c r="F3" s="42">
        <f>'Composição BDI'!D11</f>
        <v>0.27039999999999997</v>
      </c>
      <c r="G3" s="42"/>
      <c r="H3" s="71"/>
      <c r="I3" s="72"/>
      <c r="K3" s="94"/>
    </row>
    <row r="4" spans="1:11" s="34" customFormat="1" x14ac:dyDescent="0.2">
      <c r="A4" s="180" t="s">
        <v>385</v>
      </c>
      <c r="B4" s="181"/>
      <c r="C4" s="182"/>
      <c r="D4" s="15"/>
      <c r="E4" s="16"/>
      <c r="F4" s="73"/>
      <c r="G4" s="73"/>
      <c r="H4" s="74"/>
      <c r="I4" s="75"/>
      <c r="K4" s="93"/>
    </row>
    <row r="5" spans="1:11" s="34" customFormat="1" x14ac:dyDescent="0.2">
      <c r="A5" s="180" t="s">
        <v>597</v>
      </c>
      <c r="B5" s="181"/>
      <c r="C5" s="182"/>
      <c r="D5" s="15"/>
      <c r="E5" s="15"/>
      <c r="F5" s="76"/>
      <c r="G5" s="76"/>
      <c r="H5" s="77"/>
      <c r="I5" s="78"/>
      <c r="K5" s="93"/>
    </row>
    <row r="6" spans="1:11" s="34" customFormat="1" x14ac:dyDescent="0.2">
      <c r="A6" s="189" t="s">
        <v>331</v>
      </c>
      <c r="B6" s="190"/>
      <c r="C6" s="191"/>
      <c r="D6" s="17"/>
      <c r="E6" s="17"/>
      <c r="F6" s="18"/>
      <c r="G6" s="18"/>
      <c r="H6" s="19"/>
      <c r="I6" s="79"/>
      <c r="K6" s="95"/>
    </row>
    <row r="7" spans="1:11" s="6" customFormat="1" ht="31.5" x14ac:dyDescent="0.25">
      <c r="A7" s="80" t="s">
        <v>18</v>
      </c>
      <c r="B7" s="33" t="s">
        <v>19</v>
      </c>
      <c r="C7" s="23" t="s">
        <v>0</v>
      </c>
      <c r="D7" s="92" t="s">
        <v>14</v>
      </c>
      <c r="E7" s="24" t="s">
        <v>15</v>
      </c>
      <c r="F7" s="25" t="s">
        <v>2</v>
      </c>
      <c r="G7" s="25"/>
      <c r="H7" s="26" t="s">
        <v>1</v>
      </c>
      <c r="I7" s="81" t="s">
        <v>16</v>
      </c>
      <c r="J7" s="7"/>
    </row>
    <row r="8" spans="1:11" s="4" customFormat="1" ht="15.75" x14ac:dyDescent="0.25">
      <c r="A8" s="170">
        <v>1</v>
      </c>
      <c r="B8" s="171"/>
      <c r="C8" s="20" t="s">
        <v>21</v>
      </c>
      <c r="D8" s="27"/>
      <c r="E8" s="27"/>
      <c r="F8" s="27"/>
      <c r="G8" s="27"/>
      <c r="H8" s="27"/>
      <c r="I8" s="82">
        <f>SUM(I9:I14)</f>
        <v>74808.63</v>
      </c>
      <c r="K8" s="96"/>
    </row>
    <row r="9" spans="1:11" s="8" customFormat="1" ht="90" x14ac:dyDescent="0.2">
      <c r="A9" s="83" t="s">
        <v>23</v>
      </c>
      <c r="B9" s="32" t="s">
        <v>386</v>
      </c>
      <c r="C9" s="28" t="s">
        <v>175</v>
      </c>
      <c r="D9" s="29">
        <v>1187.0999999999999</v>
      </c>
      <c r="E9" s="29">
        <f>ROUND(D9+$F$3*D9,2)</f>
        <v>1508.09</v>
      </c>
      <c r="F9" s="30" t="s">
        <v>22</v>
      </c>
      <c r="G9" s="31">
        <f>ROUND(1,2)</f>
        <v>1</v>
      </c>
      <c r="H9" s="31">
        <f>ROUND(G9,2)</f>
        <v>1</v>
      </c>
      <c r="I9" s="84">
        <f>ROUND(H9*E9,2)</f>
        <v>1508.09</v>
      </c>
      <c r="K9" s="97"/>
    </row>
    <row r="10" spans="1:11" s="8" customFormat="1" ht="30" x14ac:dyDescent="0.2">
      <c r="A10" s="83" t="s">
        <v>69</v>
      </c>
      <c r="B10" s="32" t="s">
        <v>257</v>
      </c>
      <c r="C10" s="28" t="s">
        <v>256</v>
      </c>
      <c r="D10" s="29">
        <v>5.91</v>
      </c>
      <c r="E10" s="29">
        <f t="shared" ref="E10:E83" si="0">ROUND(D10+$F$3*D10,2)</f>
        <v>7.51</v>
      </c>
      <c r="F10" s="30" t="s">
        <v>53</v>
      </c>
      <c r="G10" s="31">
        <f>1988.97+4.07</f>
        <v>1993.04</v>
      </c>
      <c r="H10" s="31">
        <f t="shared" ref="H10:H82" si="1">ROUND(G10,2)</f>
        <v>1993.04</v>
      </c>
      <c r="I10" s="84">
        <f t="shared" ref="I10:I14" si="2">ROUND(H10*E10,2)</f>
        <v>14967.73</v>
      </c>
      <c r="K10" s="97"/>
    </row>
    <row r="11" spans="1:11" s="8" customFormat="1" ht="75" x14ac:dyDescent="0.2">
      <c r="A11" s="83" t="s">
        <v>70</v>
      </c>
      <c r="B11" s="32" t="s">
        <v>645</v>
      </c>
      <c r="C11" s="28" t="s">
        <v>644</v>
      </c>
      <c r="D11" s="29">
        <v>66.72</v>
      </c>
      <c r="E11" s="29">
        <f t="shared" si="0"/>
        <v>84.76</v>
      </c>
      <c r="F11" s="30" t="s">
        <v>53</v>
      </c>
      <c r="G11" s="31">
        <f>2.2*240</f>
        <v>528</v>
      </c>
      <c r="H11" s="31">
        <f t="shared" si="1"/>
        <v>528</v>
      </c>
      <c r="I11" s="84">
        <f t="shared" si="2"/>
        <v>44753.279999999999</v>
      </c>
      <c r="K11" s="97"/>
    </row>
    <row r="12" spans="1:11" s="8" customFormat="1" ht="60" x14ac:dyDescent="0.2">
      <c r="A12" s="83" t="s">
        <v>71</v>
      </c>
      <c r="B12" s="32" t="s">
        <v>387</v>
      </c>
      <c r="C12" s="60" t="s">
        <v>72</v>
      </c>
      <c r="D12" s="29">
        <v>9161.7099999999991</v>
      </c>
      <c r="E12" s="29">
        <f t="shared" si="0"/>
        <v>11639.04</v>
      </c>
      <c r="F12" s="30" t="s">
        <v>22</v>
      </c>
      <c r="G12" s="31">
        <f>ROUND(1,2)</f>
        <v>1</v>
      </c>
      <c r="H12" s="31">
        <f t="shared" si="1"/>
        <v>1</v>
      </c>
      <c r="I12" s="84">
        <f>ROUND(H12*E12,2)</f>
        <v>11639.04</v>
      </c>
      <c r="K12" s="97"/>
    </row>
    <row r="13" spans="1:11" s="8" customFormat="1" ht="60" x14ac:dyDescent="0.2">
      <c r="A13" s="83" t="s">
        <v>73</v>
      </c>
      <c r="B13" s="32" t="s">
        <v>388</v>
      </c>
      <c r="C13" s="28" t="s">
        <v>74</v>
      </c>
      <c r="D13" s="29">
        <v>600.20000000000005</v>
      </c>
      <c r="E13" s="29">
        <f>ROUND(D13+$F$3*D13,2)</f>
        <v>762.49</v>
      </c>
      <c r="F13" s="30" t="s">
        <v>22</v>
      </c>
      <c r="G13" s="31">
        <f>ROUND(1,2)</f>
        <v>1</v>
      </c>
      <c r="H13" s="31">
        <f t="shared" si="1"/>
        <v>1</v>
      </c>
      <c r="I13" s="84">
        <f t="shared" si="2"/>
        <v>762.49</v>
      </c>
      <c r="K13" s="97"/>
    </row>
    <row r="14" spans="1:11" s="8" customFormat="1" ht="75" x14ac:dyDescent="0.2">
      <c r="A14" s="83" t="s">
        <v>646</v>
      </c>
      <c r="B14" s="32" t="s">
        <v>389</v>
      </c>
      <c r="C14" s="28" t="s">
        <v>176</v>
      </c>
      <c r="D14" s="29">
        <v>927.27</v>
      </c>
      <c r="E14" s="29">
        <f t="shared" si="0"/>
        <v>1178</v>
      </c>
      <c r="F14" s="30" t="s">
        <v>22</v>
      </c>
      <c r="G14" s="31">
        <f>ROUND(1,2)</f>
        <v>1</v>
      </c>
      <c r="H14" s="31">
        <f t="shared" si="1"/>
        <v>1</v>
      </c>
      <c r="I14" s="84">
        <f t="shared" si="2"/>
        <v>1178</v>
      </c>
      <c r="K14" s="97"/>
    </row>
    <row r="15" spans="1:11" s="120" customFormat="1" ht="15.75" x14ac:dyDescent="0.25">
      <c r="A15" s="170">
        <v>2</v>
      </c>
      <c r="B15" s="171"/>
      <c r="C15" s="20" t="s">
        <v>75</v>
      </c>
      <c r="D15" s="27"/>
      <c r="E15" s="27"/>
      <c r="F15" s="27"/>
      <c r="G15" s="27"/>
      <c r="H15" s="69"/>
      <c r="I15" s="82">
        <f>SUM(I16:I21)</f>
        <v>62387.97</v>
      </c>
      <c r="K15" s="121"/>
    </row>
    <row r="16" spans="1:11" s="8" customFormat="1" ht="30" x14ac:dyDescent="0.2">
      <c r="A16" s="83" t="s">
        <v>24</v>
      </c>
      <c r="B16" s="32" t="s">
        <v>390</v>
      </c>
      <c r="C16" s="28" t="s">
        <v>238</v>
      </c>
      <c r="D16" s="29">
        <v>80.459999999999994</v>
      </c>
      <c r="E16" s="29">
        <f t="shared" si="0"/>
        <v>102.22</v>
      </c>
      <c r="F16" s="30" t="s">
        <v>55</v>
      </c>
      <c r="G16" s="31">
        <f>((1*1*1)*90+(46.07*0.15*0.4)*4+(44.95*0.15*0.4)*2+(12.85*0.15*0.4)*2+(6*0.15*0.4)*29+(2.5*0.15*0.4)*5+(2.57*0.15*0.4)*2+((2.6+1.6)*0.15*0.4)+(19.46*0.15*0.4)+(4*0.15*0.4)+(3.75*0.15*0.4)+(2.9*0.15*0.4))</f>
        <v>121.54979999999999</v>
      </c>
      <c r="H16" s="31">
        <f t="shared" si="1"/>
        <v>121.55</v>
      </c>
      <c r="I16" s="84">
        <f>ROUND(H16*E16,2)</f>
        <v>12424.84</v>
      </c>
      <c r="K16" s="97"/>
    </row>
    <row r="17" spans="1:11" s="8" customFormat="1" ht="60" x14ac:dyDescent="0.2">
      <c r="A17" s="83" t="s">
        <v>88</v>
      </c>
      <c r="B17" s="32" t="s">
        <v>633</v>
      </c>
      <c r="C17" s="28" t="s">
        <v>632</v>
      </c>
      <c r="D17" s="29">
        <v>3.87</v>
      </c>
      <c r="E17" s="29">
        <f t="shared" si="0"/>
        <v>4.92</v>
      </c>
      <c r="F17" s="30" t="s">
        <v>637</v>
      </c>
      <c r="G17" s="31">
        <f>G18*2</f>
        <v>3980.87</v>
      </c>
      <c r="H17" s="31">
        <f t="shared" si="1"/>
        <v>3980.87</v>
      </c>
      <c r="I17" s="84">
        <f t="shared" ref="I17:I18" si="3">ROUND(H17*E17,2)</f>
        <v>19585.88</v>
      </c>
      <c r="K17" s="97"/>
    </row>
    <row r="18" spans="1:11" s="8" customFormat="1" ht="30" x14ac:dyDescent="0.2">
      <c r="A18" s="83" t="s">
        <v>129</v>
      </c>
      <c r="B18" s="32" t="s">
        <v>634</v>
      </c>
      <c r="C18" s="28" t="s">
        <v>631</v>
      </c>
      <c r="D18" s="29">
        <v>3.35</v>
      </c>
      <c r="E18" s="29">
        <f t="shared" si="0"/>
        <v>4.26</v>
      </c>
      <c r="F18" s="30" t="s">
        <v>55</v>
      </c>
      <c r="G18" s="31">
        <f>(3980.87)*0.5</f>
        <v>1990.4349999999999</v>
      </c>
      <c r="H18" s="31">
        <f t="shared" si="1"/>
        <v>1990.44</v>
      </c>
      <c r="I18" s="84">
        <f t="shared" si="3"/>
        <v>8479.27</v>
      </c>
      <c r="K18" s="97"/>
    </row>
    <row r="19" spans="1:11" s="8" customFormat="1" ht="60" x14ac:dyDescent="0.2">
      <c r="A19" s="83" t="s">
        <v>130</v>
      </c>
      <c r="B19" s="32" t="s">
        <v>596</v>
      </c>
      <c r="C19" s="60" t="s">
        <v>595</v>
      </c>
      <c r="D19" s="29">
        <v>5.95</v>
      </c>
      <c r="E19" s="29">
        <f t="shared" si="0"/>
        <v>7.56</v>
      </c>
      <c r="F19" s="30" t="s">
        <v>55</v>
      </c>
      <c r="G19" s="31">
        <f>G18</f>
        <v>1990.4349999999999</v>
      </c>
      <c r="H19" s="31">
        <f t="shared" si="1"/>
        <v>1990.44</v>
      </c>
      <c r="I19" s="84">
        <f t="shared" ref="I19:I21" si="4">ROUND(H19*E19,2)</f>
        <v>15047.73</v>
      </c>
      <c r="K19" s="97"/>
    </row>
    <row r="20" spans="1:11" s="8" customFormat="1" ht="30" x14ac:dyDescent="0.2">
      <c r="A20" s="83" t="s">
        <v>635</v>
      </c>
      <c r="B20" s="32" t="s">
        <v>391</v>
      </c>
      <c r="C20" s="28" t="s">
        <v>228</v>
      </c>
      <c r="D20" s="29">
        <v>27.13</v>
      </c>
      <c r="E20" s="29">
        <f t="shared" si="0"/>
        <v>34.47</v>
      </c>
      <c r="F20" s="30" t="s">
        <v>53</v>
      </c>
      <c r="G20" s="31">
        <f>((46.07)*4+(44.95)*2+(12.85)*2+(6)*29+(2.5)*5+(2.57)*2+(2.6+1.6)+(19.46)+(4)+(3.75)+(2.9))*0.2</f>
        <v>105.166</v>
      </c>
      <c r="H20" s="31">
        <f t="shared" si="1"/>
        <v>105.17</v>
      </c>
      <c r="I20" s="84">
        <f t="shared" si="4"/>
        <v>3625.21</v>
      </c>
      <c r="K20" s="97"/>
    </row>
    <row r="21" spans="1:11" s="8" customFormat="1" ht="45" x14ac:dyDescent="0.2">
      <c r="A21" s="83" t="s">
        <v>636</v>
      </c>
      <c r="B21" s="32" t="s">
        <v>392</v>
      </c>
      <c r="C21" s="28" t="s">
        <v>229</v>
      </c>
      <c r="D21" s="29">
        <v>80.459999999999994</v>
      </c>
      <c r="E21" s="29">
        <f t="shared" si="0"/>
        <v>102.22</v>
      </c>
      <c r="F21" s="30" t="s">
        <v>55</v>
      </c>
      <c r="G21" s="31">
        <f>G20*0.3</f>
        <v>31.549799999999998</v>
      </c>
      <c r="H21" s="31">
        <f t="shared" si="1"/>
        <v>31.55</v>
      </c>
      <c r="I21" s="84">
        <f t="shared" si="4"/>
        <v>3225.04</v>
      </c>
      <c r="K21" s="97"/>
    </row>
    <row r="22" spans="1:11" s="120" customFormat="1" ht="15.75" x14ac:dyDescent="0.25">
      <c r="A22" s="170">
        <v>3</v>
      </c>
      <c r="B22" s="171"/>
      <c r="C22" s="20" t="s">
        <v>51</v>
      </c>
      <c r="D22" s="27"/>
      <c r="E22" s="27"/>
      <c r="F22" s="27"/>
      <c r="G22" s="27"/>
      <c r="H22" s="69"/>
      <c r="I22" s="82">
        <f>SUM(I23:I33)</f>
        <v>192586.41999999998</v>
      </c>
      <c r="K22" s="121"/>
    </row>
    <row r="23" spans="1:11" s="8" customFormat="1" ht="30" x14ac:dyDescent="0.2">
      <c r="A23" s="83" t="s">
        <v>54</v>
      </c>
      <c r="B23" s="32" t="s">
        <v>393</v>
      </c>
      <c r="C23" s="28" t="s">
        <v>82</v>
      </c>
      <c r="D23" s="29">
        <v>630.36</v>
      </c>
      <c r="E23" s="29">
        <f t="shared" si="0"/>
        <v>800.81</v>
      </c>
      <c r="F23" s="30" t="s">
        <v>55</v>
      </c>
      <c r="G23" s="31">
        <f>(0.6*0.7*0.05)*131</f>
        <v>2.7510000000000003</v>
      </c>
      <c r="H23" s="31">
        <f t="shared" si="1"/>
        <v>2.75</v>
      </c>
      <c r="I23" s="84">
        <f>ROUND(H23*E23,2)</f>
        <v>2202.23</v>
      </c>
      <c r="K23" s="97"/>
    </row>
    <row r="24" spans="1:11" s="8" customFormat="1" ht="60" x14ac:dyDescent="0.2">
      <c r="A24" s="83" t="s">
        <v>56</v>
      </c>
      <c r="B24" s="32" t="s">
        <v>394</v>
      </c>
      <c r="C24" s="28" t="s">
        <v>580</v>
      </c>
      <c r="D24" s="29">
        <v>816.03</v>
      </c>
      <c r="E24" s="29">
        <f t="shared" si="0"/>
        <v>1036.68</v>
      </c>
      <c r="F24" s="30" t="s">
        <v>55</v>
      </c>
      <c r="G24" s="31">
        <v>17.899999999999999</v>
      </c>
      <c r="H24" s="31">
        <f t="shared" si="1"/>
        <v>17.899999999999999</v>
      </c>
      <c r="I24" s="84">
        <f t="shared" ref="I24:I33" si="5">ROUND(H24*E24,2)</f>
        <v>18556.57</v>
      </c>
      <c r="K24" s="97"/>
    </row>
    <row r="25" spans="1:11" s="8" customFormat="1" ht="30" x14ac:dyDescent="0.2">
      <c r="A25" s="83" t="s">
        <v>76</v>
      </c>
      <c r="B25" s="32" t="s">
        <v>395</v>
      </c>
      <c r="C25" s="28" t="s">
        <v>239</v>
      </c>
      <c r="D25" s="29">
        <v>80.98</v>
      </c>
      <c r="E25" s="29">
        <f t="shared" si="0"/>
        <v>102.88</v>
      </c>
      <c r="F25" s="30" t="s">
        <v>53</v>
      </c>
      <c r="G25" s="31">
        <v>88.1</v>
      </c>
      <c r="H25" s="31">
        <f t="shared" si="1"/>
        <v>88.1</v>
      </c>
      <c r="I25" s="84">
        <f t="shared" si="5"/>
        <v>9063.73</v>
      </c>
      <c r="K25" s="97"/>
    </row>
    <row r="26" spans="1:11" s="8" customFormat="1" ht="30" x14ac:dyDescent="0.2">
      <c r="A26" s="83" t="s">
        <v>77</v>
      </c>
      <c r="B26" s="32" t="s">
        <v>581</v>
      </c>
      <c r="C26" s="28" t="s">
        <v>579</v>
      </c>
      <c r="D26" s="29">
        <v>15.78</v>
      </c>
      <c r="E26" s="29">
        <f t="shared" si="0"/>
        <v>20.05</v>
      </c>
      <c r="F26" s="30" t="s">
        <v>102</v>
      </c>
      <c r="G26" s="31">
        <v>687.5</v>
      </c>
      <c r="H26" s="31">
        <f t="shared" si="1"/>
        <v>687.5</v>
      </c>
      <c r="I26" s="84">
        <f t="shared" si="5"/>
        <v>13784.38</v>
      </c>
      <c r="K26" s="97"/>
    </row>
    <row r="27" spans="1:11" s="8" customFormat="1" ht="60" x14ac:dyDescent="0.2">
      <c r="A27" s="83" t="s">
        <v>78</v>
      </c>
      <c r="B27" s="32" t="s">
        <v>394</v>
      </c>
      <c r="C27" s="28" t="s">
        <v>177</v>
      </c>
      <c r="D27" s="29">
        <v>816.03</v>
      </c>
      <c r="E27" s="29">
        <f t="shared" si="0"/>
        <v>1036.68</v>
      </c>
      <c r="F27" s="30" t="s">
        <v>55</v>
      </c>
      <c r="G27" s="31">
        <v>31.6</v>
      </c>
      <c r="H27" s="31">
        <f t="shared" si="1"/>
        <v>31.6</v>
      </c>
      <c r="I27" s="84">
        <f t="shared" si="5"/>
        <v>32759.09</v>
      </c>
      <c r="K27" s="97"/>
    </row>
    <row r="28" spans="1:11" s="8" customFormat="1" ht="45" x14ac:dyDescent="0.2">
      <c r="A28" s="83" t="s">
        <v>79</v>
      </c>
      <c r="B28" s="32" t="s">
        <v>395</v>
      </c>
      <c r="C28" s="28" t="s">
        <v>240</v>
      </c>
      <c r="D28" s="29">
        <v>80.98</v>
      </c>
      <c r="E28" s="29">
        <f t="shared" si="0"/>
        <v>102.88</v>
      </c>
      <c r="F28" s="30" t="s">
        <v>53</v>
      </c>
      <c r="G28" s="31">
        <v>533.4</v>
      </c>
      <c r="H28" s="31">
        <f t="shared" si="1"/>
        <v>533.4</v>
      </c>
      <c r="I28" s="84">
        <f t="shared" si="5"/>
        <v>54876.19</v>
      </c>
      <c r="K28" s="97"/>
    </row>
    <row r="29" spans="1:11" s="8" customFormat="1" ht="45" x14ac:dyDescent="0.2">
      <c r="A29" s="83" t="s">
        <v>80</v>
      </c>
      <c r="B29" s="32" t="s">
        <v>179</v>
      </c>
      <c r="C29" s="28" t="s">
        <v>583</v>
      </c>
      <c r="D29" s="29">
        <v>10.25</v>
      </c>
      <c r="E29" s="29">
        <f t="shared" si="0"/>
        <v>13.02</v>
      </c>
      <c r="F29" s="30" t="s">
        <v>102</v>
      </c>
      <c r="G29" s="31">
        <f>14.8+44.5</f>
        <v>59.3</v>
      </c>
      <c r="H29" s="31">
        <f t="shared" si="1"/>
        <v>59.3</v>
      </c>
      <c r="I29" s="84">
        <f t="shared" si="5"/>
        <v>772.09</v>
      </c>
      <c r="K29" s="97"/>
    </row>
    <row r="30" spans="1:11" s="8" customFormat="1" ht="45" x14ac:dyDescent="0.2">
      <c r="A30" s="83" t="s">
        <v>81</v>
      </c>
      <c r="B30" s="32" t="s">
        <v>584</v>
      </c>
      <c r="C30" s="28" t="s">
        <v>582</v>
      </c>
      <c r="D30" s="29">
        <v>12.24</v>
      </c>
      <c r="E30" s="29">
        <f t="shared" si="0"/>
        <v>15.55</v>
      </c>
      <c r="F30" s="30" t="s">
        <v>102</v>
      </c>
      <c r="G30" s="31">
        <f>119.2+953</f>
        <v>1072.2</v>
      </c>
      <c r="H30" s="31">
        <f t="shared" si="1"/>
        <v>1072.2</v>
      </c>
      <c r="I30" s="84">
        <f t="shared" si="5"/>
        <v>16672.71</v>
      </c>
      <c r="K30" s="97"/>
    </row>
    <row r="31" spans="1:11" s="8" customFormat="1" ht="45" x14ac:dyDescent="0.2">
      <c r="A31" s="83" t="s">
        <v>589</v>
      </c>
      <c r="B31" s="32" t="s">
        <v>586</v>
      </c>
      <c r="C31" s="28" t="s">
        <v>585</v>
      </c>
      <c r="D31" s="29">
        <v>15.4</v>
      </c>
      <c r="E31" s="29">
        <f t="shared" si="0"/>
        <v>19.559999999999999</v>
      </c>
      <c r="F31" s="30" t="s">
        <v>102</v>
      </c>
      <c r="G31" s="31">
        <v>1177.3</v>
      </c>
      <c r="H31" s="31">
        <f t="shared" si="1"/>
        <v>1177.3</v>
      </c>
      <c r="I31" s="84">
        <f t="shared" si="5"/>
        <v>23027.99</v>
      </c>
      <c r="K31" s="97"/>
    </row>
    <row r="32" spans="1:11" s="8" customFormat="1" ht="45" x14ac:dyDescent="0.2">
      <c r="A32" s="83" t="s">
        <v>590</v>
      </c>
      <c r="B32" s="32" t="s">
        <v>588</v>
      </c>
      <c r="C32" s="28" t="s">
        <v>587</v>
      </c>
      <c r="D32" s="29">
        <v>18</v>
      </c>
      <c r="E32" s="29">
        <f t="shared" si="0"/>
        <v>22.87</v>
      </c>
      <c r="F32" s="30" t="s">
        <v>102</v>
      </c>
      <c r="G32" s="31">
        <v>1.1000000000000001</v>
      </c>
      <c r="H32" s="31">
        <f t="shared" si="1"/>
        <v>1.1000000000000001</v>
      </c>
      <c r="I32" s="84">
        <f t="shared" si="5"/>
        <v>25.16</v>
      </c>
      <c r="K32" s="97"/>
    </row>
    <row r="33" spans="1:13" s="8" customFormat="1" ht="45" x14ac:dyDescent="0.2">
      <c r="A33" s="83" t="s">
        <v>591</v>
      </c>
      <c r="B33" s="32" t="s">
        <v>178</v>
      </c>
      <c r="C33" s="28" t="s">
        <v>241</v>
      </c>
      <c r="D33" s="29">
        <v>21.06</v>
      </c>
      <c r="E33" s="29">
        <f>ROUND(D33+$F$3*D33,2)</f>
        <v>26.75</v>
      </c>
      <c r="F33" s="30" t="s">
        <v>102</v>
      </c>
      <c r="G33" s="31">
        <f>467.4+311.9</f>
        <v>779.3</v>
      </c>
      <c r="H33" s="31">
        <f t="shared" si="1"/>
        <v>779.3</v>
      </c>
      <c r="I33" s="84">
        <f t="shared" si="5"/>
        <v>20846.28</v>
      </c>
      <c r="K33" s="97"/>
    </row>
    <row r="34" spans="1:13" s="120" customFormat="1" ht="15.75" x14ac:dyDescent="0.25">
      <c r="A34" s="170">
        <v>4</v>
      </c>
      <c r="B34" s="171"/>
      <c r="C34" s="20" t="s">
        <v>52</v>
      </c>
      <c r="D34" s="27"/>
      <c r="E34" s="27"/>
      <c r="F34" s="27"/>
      <c r="G34" s="27"/>
      <c r="H34" s="69"/>
      <c r="I34" s="82">
        <f>SUM(I35:I48)</f>
        <v>833659.00000000023</v>
      </c>
      <c r="K34" s="121"/>
    </row>
    <row r="35" spans="1:13" s="8" customFormat="1" ht="60" x14ac:dyDescent="0.2">
      <c r="A35" s="83" t="s">
        <v>57</v>
      </c>
      <c r="B35" s="32" t="s">
        <v>396</v>
      </c>
      <c r="C35" s="28" t="s">
        <v>593</v>
      </c>
      <c r="D35" s="29">
        <v>853.68</v>
      </c>
      <c r="E35" s="29">
        <f t="shared" si="0"/>
        <v>1084.52</v>
      </c>
      <c r="F35" s="30" t="s">
        <v>55</v>
      </c>
      <c r="G35" s="31">
        <f>25+4.4</f>
        <v>29.4</v>
      </c>
      <c r="H35" s="31">
        <f t="shared" si="1"/>
        <v>29.4</v>
      </c>
      <c r="I35" s="84">
        <f>ROUND(H35*E35,2)</f>
        <v>31884.89</v>
      </c>
      <c r="K35" s="97"/>
    </row>
    <row r="36" spans="1:13" s="8" customFormat="1" ht="45" x14ac:dyDescent="0.2">
      <c r="A36" s="83" t="s">
        <v>58</v>
      </c>
      <c r="B36" s="32" t="s">
        <v>66</v>
      </c>
      <c r="C36" s="28" t="s">
        <v>86</v>
      </c>
      <c r="D36" s="29">
        <v>166.45</v>
      </c>
      <c r="E36" s="29">
        <f t="shared" si="0"/>
        <v>211.46</v>
      </c>
      <c r="F36" s="30" t="s">
        <v>53</v>
      </c>
      <c r="G36" s="31">
        <f>445.8+80.1</f>
        <v>525.9</v>
      </c>
      <c r="H36" s="31">
        <f t="shared" si="1"/>
        <v>525.9</v>
      </c>
      <c r="I36" s="84">
        <f t="shared" ref="I36:I47" si="6">ROUND(H36*E36,2)</f>
        <v>111206.81</v>
      </c>
      <c r="K36" s="97"/>
    </row>
    <row r="37" spans="1:13" s="8" customFormat="1" ht="60" x14ac:dyDescent="0.2">
      <c r="A37" s="83" t="s">
        <v>59</v>
      </c>
      <c r="B37" s="32" t="s">
        <v>396</v>
      </c>
      <c r="C37" s="28" t="s">
        <v>594</v>
      </c>
      <c r="D37" s="29">
        <v>853.68</v>
      </c>
      <c r="E37" s="29">
        <f t="shared" si="0"/>
        <v>1084.52</v>
      </c>
      <c r="F37" s="30" t="s">
        <v>55</v>
      </c>
      <c r="G37" s="31">
        <f>46.1+11.7</f>
        <v>57.8</v>
      </c>
      <c r="H37" s="31">
        <f t="shared" si="1"/>
        <v>57.8</v>
      </c>
      <c r="I37" s="84">
        <f t="shared" si="6"/>
        <v>62685.26</v>
      </c>
      <c r="K37" s="97"/>
    </row>
    <row r="38" spans="1:13" s="8" customFormat="1" ht="30" x14ac:dyDescent="0.2">
      <c r="A38" s="83" t="s">
        <v>60</v>
      </c>
      <c r="B38" s="32" t="s">
        <v>63</v>
      </c>
      <c r="C38" s="28" t="s">
        <v>87</v>
      </c>
      <c r="D38" s="29">
        <v>123.13</v>
      </c>
      <c r="E38" s="29">
        <f t="shared" si="0"/>
        <v>156.41999999999999</v>
      </c>
      <c r="F38" s="30" t="s">
        <v>53</v>
      </c>
      <c r="G38" s="31">
        <f>622.8+206.6</f>
        <v>829.4</v>
      </c>
      <c r="H38" s="31">
        <f t="shared" si="1"/>
        <v>829.4</v>
      </c>
      <c r="I38" s="84">
        <f t="shared" si="6"/>
        <v>129734.75</v>
      </c>
      <c r="K38" s="97"/>
    </row>
    <row r="39" spans="1:13" s="8" customFormat="1" ht="45" x14ac:dyDescent="0.2">
      <c r="A39" s="83" t="s">
        <v>61</v>
      </c>
      <c r="B39" s="32" t="s">
        <v>179</v>
      </c>
      <c r="C39" s="28" t="s">
        <v>583</v>
      </c>
      <c r="D39" s="29">
        <v>10.25</v>
      </c>
      <c r="E39" s="29">
        <f t="shared" ref="E39:E43" si="7">ROUND(D39+$F$3*D39,2)</f>
        <v>13.02</v>
      </c>
      <c r="F39" s="30" t="s">
        <v>102</v>
      </c>
      <c r="G39" s="31">
        <f>182+78.6</f>
        <v>260.60000000000002</v>
      </c>
      <c r="H39" s="31">
        <f t="shared" ref="H39:H43" si="8">ROUND(G39,2)</f>
        <v>260.60000000000002</v>
      </c>
      <c r="I39" s="84">
        <f t="shared" si="6"/>
        <v>3393.01</v>
      </c>
      <c r="K39" s="97"/>
    </row>
    <row r="40" spans="1:13" s="8" customFormat="1" ht="45" x14ac:dyDescent="0.2">
      <c r="A40" s="83" t="s">
        <v>62</v>
      </c>
      <c r="B40" s="32" t="s">
        <v>584</v>
      </c>
      <c r="C40" s="28" t="s">
        <v>582</v>
      </c>
      <c r="D40" s="29">
        <v>12.24</v>
      </c>
      <c r="E40" s="29">
        <f t="shared" si="7"/>
        <v>15.55</v>
      </c>
      <c r="F40" s="30" t="s">
        <v>102</v>
      </c>
      <c r="G40" s="31">
        <f>574.8+2131.5</f>
        <v>2706.3</v>
      </c>
      <c r="H40" s="31">
        <f t="shared" si="8"/>
        <v>2706.3</v>
      </c>
      <c r="I40" s="84">
        <f t="shared" si="6"/>
        <v>42082.97</v>
      </c>
      <c r="K40" s="97"/>
    </row>
    <row r="41" spans="1:13" s="8" customFormat="1" ht="45" x14ac:dyDescent="0.2">
      <c r="A41" s="83" t="s">
        <v>64</v>
      </c>
      <c r="B41" s="32" t="s">
        <v>586</v>
      </c>
      <c r="C41" s="28" t="s">
        <v>585</v>
      </c>
      <c r="D41" s="29">
        <v>15.4</v>
      </c>
      <c r="E41" s="29">
        <f t="shared" si="7"/>
        <v>19.559999999999999</v>
      </c>
      <c r="F41" s="30" t="s">
        <v>102</v>
      </c>
      <c r="G41" s="31">
        <v>1995</v>
      </c>
      <c r="H41" s="31">
        <f t="shared" si="8"/>
        <v>1995</v>
      </c>
      <c r="I41" s="84">
        <f t="shared" si="6"/>
        <v>39022.199999999997</v>
      </c>
      <c r="K41" s="97"/>
    </row>
    <row r="42" spans="1:13" s="8" customFormat="1" ht="45" x14ac:dyDescent="0.2">
      <c r="A42" s="83" t="s">
        <v>65</v>
      </c>
      <c r="B42" s="32" t="s">
        <v>588</v>
      </c>
      <c r="C42" s="28" t="s">
        <v>587</v>
      </c>
      <c r="D42" s="29">
        <v>18</v>
      </c>
      <c r="E42" s="29">
        <f t="shared" si="7"/>
        <v>22.87</v>
      </c>
      <c r="F42" s="30" t="s">
        <v>102</v>
      </c>
      <c r="G42" s="31">
        <v>0.9</v>
      </c>
      <c r="H42" s="31">
        <f t="shared" si="8"/>
        <v>0.9</v>
      </c>
      <c r="I42" s="84">
        <f t="shared" si="6"/>
        <v>20.58</v>
      </c>
      <c r="K42" s="97"/>
    </row>
    <row r="43" spans="1:13" s="8" customFormat="1" ht="45" x14ac:dyDescent="0.2">
      <c r="A43" s="83" t="s">
        <v>83</v>
      </c>
      <c r="B43" s="32" t="s">
        <v>178</v>
      </c>
      <c r="C43" s="28" t="s">
        <v>241</v>
      </c>
      <c r="D43" s="29">
        <v>21.06</v>
      </c>
      <c r="E43" s="29">
        <f t="shared" si="7"/>
        <v>26.75</v>
      </c>
      <c r="F43" s="30" t="s">
        <v>102</v>
      </c>
      <c r="G43" s="31">
        <f>893.6+896.7</f>
        <v>1790.3000000000002</v>
      </c>
      <c r="H43" s="31">
        <f t="shared" si="8"/>
        <v>1790.3</v>
      </c>
      <c r="I43" s="84">
        <f t="shared" si="6"/>
        <v>47890.53</v>
      </c>
      <c r="K43" s="97"/>
    </row>
    <row r="44" spans="1:13" s="8" customFormat="1" ht="30" x14ac:dyDescent="0.2">
      <c r="A44" s="83" t="s">
        <v>84</v>
      </c>
      <c r="B44" s="32" t="s">
        <v>397</v>
      </c>
      <c r="C44" s="28" t="s">
        <v>307</v>
      </c>
      <c r="D44" s="29">
        <v>3325.75</v>
      </c>
      <c r="E44" s="29">
        <f t="shared" si="0"/>
        <v>4225.03</v>
      </c>
      <c r="F44" s="30" t="s">
        <v>55</v>
      </c>
      <c r="G44" s="31">
        <f>(0.12566*3.5)*12+(0.12566*3)*18</f>
        <v>12.063359999999999</v>
      </c>
      <c r="H44" s="31">
        <f t="shared" si="1"/>
        <v>12.06</v>
      </c>
      <c r="I44" s="84">
        <f t="shared" si="6"/>
        <v>50953.86</v>
      </c>
      <c r="K44" s="97"/>
    </row>
    <row r="45" spans="1:13" s="8" customFormat="1" ht="45" x14ac:dyDescent="0.2">
      <c r="A45" s="83" t="s">
        <v>308</v>
      </c>
      <c r="B45" s="32" t="s">
        <v>180</v>
      </c>
      <c r="C45" s="28" t="s">
        <v>181</v>
      </c>
      <c r="D45" s="29">
        <v>194.48</v>
      </c>
      <c r="E45" s="29">
        <f t="shared" si="0"/>
        <v>247.07</v>
      </c>
      <c r="F45" s="30" t="s">
        <v>53</v>
      </c>
      <c r="G45" s="31">
        <f>1138.64</f>
        <v>1138.6400000000001</v>
      </c>
      <c r="H45" s="31">
        <f t="shared" si="1"/>
        <v>1138.6400000000001</v>
      </c>
      <c r="I45" s="84">
        <f t="shared" si="6"/>
        <v>281323.78000000003</v>
      </c>
      <c r="K45" s="97"/>
      <c r="M45" s="123"/>
    </row>
    <row r="46" spans="1:13" s="8" customFormat="1" ht="30" x14ac:dyDescent="0.2">
      <c r="A46" s="83" t="s">
        <v>85</v>
      </c>
      <c r="B46" s="32" t="s">
        <v>90</v>
      </c>
      <c r="C46" s="28" t="s">
        <v>230</v>
      </c>
      <c r="D46" s="29">
        <v>86.7</v>
      </c>
      <c r="E46" s="29">
        <f t="shared" si="0"/>
        <v>110.14</v>
      </c>
      <c r="F46" s="30" t="s">
        <v>89</v>
      </c>
      <c r="G46" s="31">
        <f>(2.7*26)+(3.2*3)+(2.6*3)+(3.7*2)+(3.4)+(2.6)+(2.2*6)+(1.4*17)+(1.8*5)+(3*2)</f>
        <v>153</v>
      </c>
      <c r="H46" s="31">
        <f t="shared" si="1"/>
        <v>153</v>
      </c>
      <c r="I46" s="84">
        <f t="shared" si="6"/>
        <v>16851.419999999998</v>
      </c>
      <c r="K46" s="97"/>
    </row>
    <row r="47" spans="1:13" s="8" customFormat="1" ht="30" x14ac:dyDescent="0.2">
      <c r="A47" s="83" t="s">
        <v>309</v>
      </c>
      <c r="B47" s="32" t="s">
        <v>91</v>
      </c>
      <c r="C47" s="28" t="s">
        <v>231</v>
      </c>
      <c r="D47" s="29">
        <v>64.48</v>
      </c>
      <c r="E47" s="29">
        <f t="shared" si="0"/>
        <v>81.92</v>
      </c>
      <c r="F47" s="30" t="s">
        <v>89</v>
      </c>
      <c r="G47" s="31">
        <f>G46</f>
        <v>153</v>
      </c>
      <c r="H47" s="31">
        <f t="shared" si="1"/>
        <v>153</v>
      </c>
      <c r="I47" s="84">
        <f t="shared" si="6"/>
        <v>12533.76</v>
      </c>
      <c r="K47" s="97"/>
    </row>
    <row r="48" spans="1:13" s="8" customFormat="1" ht="30" x14ac:dyDescent="0.2">
      <c r="A48" s="83" t="s">
        <v>592</v>
      </c>
      <c r="B48" s="32" t="s">
        <v>90</v>
      </c>
      <c r="C48" s="28" t="s">
        <v>232</v>
      </c>
      <c r="D48" s="29">
        <v>86.7</v>
      </c>
      <c r="E48" s="29">
        <f t="shared" si="0"/>
        <v>110.14</v>
      </c>
      <c r="F48" s="30" t="s">
        <v>89</v>
      </c>
      <c r="G48" s="31">
        <f>1*37</f>
        <v>37</v>
      </c>
      <c r="H48" s="31">
        <f t="shared" si="1"/>
        <v>37</v>
      </c>
      <c r="I48" s="84">
        <f>ROUND(H48*E48,2)</f>
        <v>4075.18</v>
      </c>
      <c r="K48" s="97"/>
    </row>
    <row r="49" spans="1:11" s="120" customFormat="1" ht="15.75" x14ac:dyDescent="0.25">
      <c r="A49" s="170">
        <v>5</v>
      </c>
      <c r="B49" s="171"/>
      <c r="C49" s="20" t="s">
        <v>92</v>
      </c>
      <c r="D49" s="27"/>
      <c r="E49" s="27"/>
      <c r="F49" s="27"/>
      <c r="G49" s="27"/>
      <c r="H49" s="69"/>
      <c r="I49" s="82">
        <f>SUM(I50:I52)</f>
        <v>267799.77</v>
      </c>
      <c r="K49" s="121"/>
    </row>
    <row r="50" spans="1:11" s="8" customFormat="1" ht="45" x14ac:dyDescent="0.2">
      <c r="A50" s="83" t="s">
        <v>93</v>
      </c>
      <c r="B50" s="32" t="s">
        <v>398</v>
      </c>
      <c r="C50" s="28" t="s">
        <v>95</v>
      </c>
      <c r="D50" s="29">
        <v>74.34</v>
      </c>
      <c r="E50" s="29">
        <f t="shared" si="0"/>
        <v>94.44</v>
      </c>
      <c r="F50" s="30" t="s">
        <v>53</v>
      </c>
      <c r="G50" s="31">
        <f>(((46.07*4)+(44.95*2)+(12.85*2)+(6*28)+(2.5*5)+(2.57*2)+((2.6+1.6))+(19.46)+(4)+(3.75)+(2.9))*4.85)+(((2*3.14*0.5)*0.05)*6+((2*3.14*0.45)*0.05)*5+((2*3.14*0.65)*0.05)*6+((2*3.14*0.75)*0.05))</f>
        <v>2524.2840999999994</v>
      </c>
      <c r="H50" s="31">
        <f t="shared" si="1"/>
        <v>2524.2800000000002</v>
      </c>
      <c r="I50" s="84">
        <f>ROUND(H50*E50,2)</f>
        <v>238393</v>
      </c>
      <c r="K50" s="97"/>
    </row>
    <row r="51" spans="1:11" s="8" customFormat="1" ht="45" x14ac:dyDescent="0.2">
      <c r="A51" s="83" t="s">
        <v>94</v>
      </c>
      <c r="B51" s="32" t="s">
        <v>237</v>
      </c>
      <c r="C51" s="28" t="s">
        <v>598</v>
      </c>
      <c r="D51" s="29">
        <v>251.09</v>
      </c>
      <c r="E51" s="29">
        <f t="shared" ref="E51" si="9">ROUND(D51+$F$3*D51,2)</f>
        <v>318.98</v>
      </c>
      <c r="F51" s="30" t="s">
        <v>53</v>
      </c>
      <c r="G51" s="31">
        <f>(2.5*1.2)*3</f>
        <v>9</v>
      </c>
      <c r="H51" s="31">
        <f t="shared" si="1"/>
        <v>9</v>
      </c>
      <c r="I51" s="84">
        <f t="shared" ref="I51:I52" si="10">ROUND(H51*E51,2)</f>
        <v>2870.82</v>
      </c>
      <c r="K51" s="97"/>
    </row>
    <row r="52" spans="1:11" s="8" customFormat="1" ht="30" x14ac:dyDescent="0.2">
      <c r="A52" s="83" t="s">
        <v>349</v>
      </c>
      <c r="B52" s="32" t="s">
        <v>185</v>
      </c>
      <c r="C52" s="28" t="s">
        <v>599</v>
      </c>
      <c r="D52" s="29">
        <v>814.34</v>
      </c>
      <c r="E52" s="29">
        <f t="shared" si="0"/>
        <v>1034.54</v>
      </c>
      <c r="F52" s="30" t="s">
        <v>53</v>
      </c>
      <c r="G52" s="31">
        <f>(0.9+0.9+((1.12+0.19)*8)+((1.72+0.69)*2))*1.5</f>
        <v>25.650000000000002</v>
      </c>
      <c r="H52" s="31">
        <f t="shared" si="1"/>
        <v>25.65</v>
      </c>
      <c r="I52" s="84">
        <f t="shared" si="10"/>
        <v>26535.95</v>
      </c>
      <c r="K52" s="97"/>
    </row>
    <row r="53" spans="1:11" s="120" customFormat="1" ht="15.75" x14ac:dyDescent="0.25">
      <c r="A53" s="170">
        <v>6</v>
      </c>
      <c r="B53" s="171"/>
      <c r="C53" s="20" t="s">
        <v>96</v>
      </c>
      <c r="D53" s="27"/>
      <c r="E53" s="27"/>
      <c r="F53" s="27"/>
      <c r="G53" s="27"/>
      <c r="H53" s="69"/>
      <c r="I53" s="82">
        <f>SUM(I54:I59)</f>
        <v>373123.25000000006</v>
      </c>
      <c r="K53" s="121"/>
    </row>
    <row r="54" spans="1:11" s="8" customFormat="1" ht="60" x14ac:dyDescent="0.2">
      <c r="A54" s="83" t="s">
        <v>124</v>
      </c>
      <c r="B54" s="32" t="s">
        <v>641</v>
      </c>
      <c r="C54" s="28" t="s">
        <v>640</v>
      </c>
      <c r="D54" s="29">
        <v>44.65</v>
      </c>
      <c r="E54" s="29">
        <f t="shared" si="0"/>
        <v>56.72</v>
      </c>
      <c r="F54" s="30" t="s">
        <v>53</v>
      </c>
      <c r="G54" s="31">
        <f>G45+G56</f>
        <v>1311.68</v>
      </c>
      <c r="H54" s="31">
        <f t="shared" si="1"/>
        <v>1311.68</v>
      </c>
      <c r="I54" s="84">
        <f>ROUND(H54*E54,2)</f>
        <v>74398.490000000005</v>
      </c>
      <c r="K54" s="97"/>
    </row>
    <row r="55" spans="1:11" s="8" customFormat="1" ht="30" x14ac:dyDescent="0.2">
      <c r="A55" s="83" t="s">
        <v>125</v>
      </c>
      <c r="B55" s="32" t="s">
        <v>639</v>
      </c>
      <c r="C55" s="28" t="s">
        <v>638</v>
      </c>
      <c r="D55" s="29">
        <v>152.58000000000001</v>
      </c>
      <c r="E55" s="29">
        <f t="shared" si="0"/>
        <v>193.84</v>
      </c>
      <c r="F55" s="30" t="s">
        <v>53</v>
      </c>
      <c r="G55" s="31">
        <f>G45</f>
        <v>1138.6400000000001</v>
      </c>
      <c r="H55" s="31">
        <f t="shared" si="1"/>
        <v>1138.6400000000001</v>
      </c>
      <c r="I55" s="84">
        <f t="shared" ref="I55:I59" si="11">ROUND(H55*E55,2)</f>
        <v>220713.98</v>
      </c>
      <c r="K55" s="97"/>
    </row>
    <row r="56" spans="1:11" s="8" customFormat="1" ht="45" x14ac:dyDescent="0.2">
      <c r="A56" s="83" t="s">
        <v>203</v>
      </c>
      <c r="B56" s="32" t="s">
        <v>643</v>
      </c>
      <c r="C56" s="28" t="s">
        <v>642</v>
      </c>
      <c r="D56" s="29">
        <v>93.6</v>
      </c>
      <c r="E56" s="29">
        <f t="shared" si="0"/>
        <v>118.91</v>
      </c>
      <c r="F56" s="30" t="s">
        <v>53</v>
      </c>
      <c r="G56" s="31">
        <f>86.52*2</f>
        <v>173.04</v>
      </c>
      <c r="H56" s="31">
        <f t="shared" si="1"/>
        <v>173.04</v>
      </c>
      <c r="I56" s="84">
        <f t="shared" si="11"/>
        <v>20576.189999999999</v>
      </c>
      <c r="K56" s="97"/>
    </row>
    <row r="57" spans="1:11" s="8" customFormat="1" ht="45" x14ac:dyDescent="0.2">
      <c r="A57" s="83" t="s">
        <v>166</v>
      </c>
      <c r="B57" s="32" t="s">
        <v>399</v>
      </c>
      <c r="C57" s="28" t="s">
        <v>182</v>
      </c>
      <c r="D57" s="29">
        <v>68.75</v>
      </c>
      <c r="E57" s="29">
        <f t="shared" si="0"/>
        <v>87.34</v>
      </c>
      <c r="F57" s="30" t="s">
        <v>89</v>
      </c>
      <c r="G57" s="31">
        <f>((30.75+36.9+20.07+45.85)*2)+6.6</f>
        <v>273.74</v>
      </c>
      <c r="H57" s="31">
        <f t="shared" si="1"/>
        <v>273.74</v>
      </c>
      <c r="I57" s="84">
        <f t="shared" si="11"/>
        <v>23908.45</v>
      </c>
      <c r="K57" s="97"/>
    </row>
    <row r="58" spans="1:11" s="8" customFormat="1" ht="45" x14ac:dyDescent="0.2">
      <c r="A58" s="83" t="s">
        <v>258</v>
      </c>
      <c r="B58" s="32" t="s">
        <v>400</v>
      </c>
      <c r="C58" s="28" t="s">
        <v>183</v>
      </c>
      <c r="D58" s="29">
        <v>48.93</v>
      </c>
      <c r="E58" s="29">
        <f t="shared" si="0"/>
        <v>62.16</v>
      </c>
      <c r="F58" s="30" t="s">
        <v>89</v>
      </c>
      <c r="G58" s="31">
        <f>((46.15+31.05+6.3+6.9+2.15)*2)+37.2+6.3+8.87+9.3+14.45+33.22+15.85+6.3+(3.3*12)</f>
        <v>356.19000000000005</v>
      </c>
      <c r="H58" s="31">
        <f t="shared" si="1"/>
        <v>356.19</v>
      </c>
      <c r="I58" s="84">
        <f t="shared" si="11"/>
        <v>22140.77</v>
      </c>
      <c r="K58" s="97"/>
    </row>
    <row r="59" spans="1:11" s="8" customFormat="1" ht="45" x14ac:dyDescent="0.2">
      <c r="A59" s="83" t="s">
        <v>259</v>
      </c>
      <c r="B59" s="32" t="s">
        <v>401</v>
      </c>
      <c r="C59" s="28" t="s">
        <v>197</v>
      </c>
      <c r="D59" s="29">
        <v>105.81</v>
      </c>
      <c r="E59" s="29">
        <f t="shared" ref="E59" si="12">ROUND(D59+$F$3*D59,2)</f>
        <v>134.41999999999999</v>
      </c>
      <c r="F59" s="30" t="s">
        <v>89</v>
      </c>
      <c r="G59" s="31">
        <f>22*3.85</f>
        <v>84.7</v>
      </c>
      <c r="H59" s="31">
        <f t="shared" si="1"/>
        <v>84.7</v>
      </c>
      <c r="I59" s="84">
        <f t="shared" si="11"/>
        <v>11385.37</v>
      </c>
      <c r="K59" s="97"/>
    </row>
    <row r="60" spans="1:11" s="120" customFormat="1" ht="15.75" x14ac:dyDescent="0.25">
      <c r="A60" s="170">
        <v>7</v>
      </c>
      <c r="B60" s="171"/>
      <c r="C60" s="20" t="s">
        <v>97</v>
      </c>
      <c r="D60" s="27"/>
      <c r="E60" s="27"/>
      <c r="F60" s="27"/>
      <c r="G60" s="27"/>
      <c r="H60" s="69"/>
      <c r="I60" s="82">
        <f>SUM(I61:I67)</f>
        <v>136656.65000000002</v>
      </c>
      <c r="K60" s="121"/>
    </row>
    <row r="61" spans="1:11" s="8" customFormat="1" ht="60" x14ac:dyDescent="0.2">
      <c r="A61" s="83" t="s">
        <v>98</v>
      </c>
      <c r="B61" s="32" t="s">
        <v>402</v>
      </c>
      <c r="C61" s="28" t="s">
        <v>243</v>
      </c>
      <c r="D61" s="29">
        <v>1100.44</v>
      </c>
      <c r="E61" s="29">
        <f t="shared" si="0"/>
        <v>1398</v>
      </c>
      <c r="F61" s="30" t="s">
        <v>22</v>
      </c>
      <c r="G61" s="31">
        <v>36</v>
      </c>
      <c r="H61" s="31">
        <f t="shared" si="1"/>
        <v>36</v>
      </c>
      <c r="I61" s="84">
        <f>ROUND(H61*E61,2)</f>
        <v>50328</v>
      </c>
      <c r="K61" s="97"/>
    </row>
    <row r="62" spans="1:11" s="8" customFormat="1" ht="75" x14ac:dyDescent="0.2">
      <c r="A62" s="83" t="s">
        <v>99</v>
      </c>
      <c r="B62" s="32" t="s">
        <v>403</v>
      </c>
      <c r="C62" s="28" t="s">
        <v>242</v>
      </c>
      <c r="D62" s="29">
        <v>380.46</v>
      </c>
      <c r="E62" s="29">
        <f t="shared" si="0"/>
        <v>483.34</v>
      </c>
      <c r="F62" s="30" t="s">
        <v>22</v>
      </c>
      <c r="G62" s="31">
        <v>8</v>
      </c>
      <c r="H62" s="31">
        <f t="shared" si="1"/>
        <v>8</v>
      </c>
      <c r="I62" s="84">
        <f t="shared" ref="I62:I67" si="13">ROUND(H62*E62,2)</f>
        <v>3866.72</v>
      </c>
      <c r="K62" s="97"/>
    </row>
    <row r="63" spans="1:11" s="8" customFormat="1" ht="75" x14ac:dyDescent="0.2">
      <c r="A63" s="83" t="s">
        <v>100</v>
      </c>
      <c r="B63" s="32" t="s">
        <v>404</v>
      </c>
      <c r="C63" s="28" t="s">
        <v>600</v>
      </c>
      <c r="D63" s="29">
        <v>429.91</v>
      </c>
      <c r="E63" s="29">
        <f t="shared" si="0"/>
        <v>546.16</v>
      </c>
      <c r="F63" s="30" t="s">
        <v>22</v>
      </c>
      <c r="G63" s="31">
        <f>ROUND(2,2)</f>
        <v>2</v>
      </c>
      <c r="H63" s="31">
        <f t="shared" si="1"/>
        <v>2</v>
      </c>
      <c r="I63" s="84">
        <f t="shared" si="13"/>
        <v>1092.32</v>
      </c>
      <c r="K63" s="97"/>
    </row>
    <row r="64" spans="1:11" s="8" customFormat="1" ht="60" x14ac:dyDescent="0.2">
      <c r="A64" s="83" t="s">
        <v>101</v>
      </c>
      <c r="B64" s="32" t="s">
        <v>405</v>
      </c>
      <c r="C64" s="28" t="s">
        <v>327</v>
      </c>
      <c r="D64" s="29">
        <v>759.59</v>
      </c>
      <c r="E64" s="29">
        <f t="shared" si="0"/>
        <v>964.98</v>
      </c>
      <c r="F64" s="30" t="s">
        <v>22</v>
      </c>
      <c r="G64" s="31">
        <v>1</v>
      </c>
      <c r="H64" s="31">
        <f t="shared" si="1"/>
        <v>1</v>
      </c>
      <c r="I64" s="84">
        <f t="shared" si="13"/>
        <v>964.98</v>
      </c>
      <c r="K64" s="97"/>
    </row>
    <row r="65" spans="1:14" s="8" customFormat="1" ht="30" x14ac:dyDescent="0.2">
      <c r="A65" s="83" t="s">
        <v>348</v>
      </c>
      <c r="B65" s="32" t="s">
        <v>482</v>
      </c>
      <c r="C65" s="28" t="s">
        <v>260</v>
      </c>
      <c r="D65" s="29">
        <v>450</v>
      </c>
      <c r="E65" s="29">
        <f t="shared" si="0"/>
        <v>571.67999999999995</v>
      </c>
      <c r="F65" s="30" t="s">
        <v>53</v>
      </c>
      <c r="G65" s="31">
        <f>(3*1*1)+(2.5*1*23)+(2.4*0.6*2)+(2.5*0.6*3)+(1.2*1*5)+(1.2*0.6*12)+(1.6*0.6*5)+(2*1.2*4)+(3.5*1*1)+(3.2*1*1)+(3.5*0.6*1)+(3*0.6*2)+(2.8*1*2)+(2*0.6*2)</f>
        <v>117.31999999999998</v>
      </c>
      <c r="H65" s="31">
        <f t="shared" si="1"/>
        <v>117.32</v>
      </c>
      <c r="I65" s="84">
        <f t="shared" si="13"/>
        <v>67069.5</v>
      </c>
      <c r="K65" s="97"/>
    </row>
    <row r="66" spans="1:14" s="8" customFormat="1" ht="30" x14ac:dyDescent="0.2">
      <c r="A66" s="83" t="s">
        <v>132</v>
      </c>
      <c r="B66" s="32" t="s">
        <v>406</v>
      </c>
      <c r="C66" s="28" t="s">
        <v>263</v>
      </c>
      <c r="D66" s="29">
        <v>433.78</v>
      </c>
      <c r="E66" s="29">
        <f>ROUND(D66+$F$3*D66,2)</f>
        <v>551.07000000000005</v>
      </c>
      <c r="F66" s="30" t="s">
        <v>53</v>
      </c>
      <c r="G66" s="31">
        <f>(1.2*0.6)*5</f>
        <v>3.5999999999999996</v>
      </c>
      <c r="H66" s="31">
        <f t="shared" si="1"/>
        <v>3.6</v>
      </c>
      <c r="I66" s="84">
        <f t="shared" si="13"/>
        <v>1983.85</v>
      </c>
      <c r="K66" s="97"/>
    </row>
    <row r="67" spans="1:14" s="8" customFormat="1" ht="30" x14ac:dyDescent="0.2">
      <c r="A67" s="83" t="s">
        <v>357</v>
      </c>
      <c r="B67" s="32" t="s">
        <v>407</v>
      </c>
      <c r="C67" s="28" t="s">
        <v>358</v>
      </c>
      <c r="D67" s="29">
        <v>449.46</v>
      </c>
      <c r="E67" s="29">
        <f>ROUND(D67+$F$3*D67,2)</f>
        <v>570.99</v>
      </c>
      <c r="F67" s="30" t="s">
        <v>53</v>
      </c>
      <c r="G67" s="31">
        <f>(2.2*1.4*4)+(2.7*1.4*2)</f>
        <v>19.88</v>
      </c>
      <c r="H67" s="31">
        <f t="shared" si="1"/>
        <v>19.88</v>
      </c>
      <c r="I67" s="84">
        <f t="shared" si="13"/>
        <v>11351.28</v>
      </c>
      <c r="K67" s="97"/>
    </row>
    <row r="68" spans="1:14" s="120" customFormat="1" ht="15.75" x14ac:dyDescent="0.25">
      <c r="A68" s="170">
        <v>8</v>
      </c>
      <c r="B68" s="171"/>
      <c r="C68" s="20" t="s">
        <v>103</v>
      </c>
      <c r="D68" s="27"/>
      <c r="E68" s="27"/>
      <c r="F68" s="27"/>
      <c r="G68" s="27"/>
      <c r="H68" s="69"/>
      <c r="I68" s="82">
        <f>SUM(I69:I78)</f>
        <v>676390.14999999991</v>
      </c>
      <c r="K68" s="121"/>
    </row>
    <row r="69" spans="1:14" s="8" customFormat="1" ht="75" x14ac:dyDescent="0.2">
      <c r="A69" s="83" t="s">
        <v>110</v>
      </c>
      <c r="B69" s="32" t="s">
        <v>408</v>
      </c>
      <c r="C69" s="28" t="s">
        <v>244</v>
      </c>
      <c r="D69" s="29">
        <v>99.18</v>
      </c>
      <c r="E69" s="29">
        <f t="shared" si="0"/>
        <v>126</v>
      </c>
      <c r="F69" s="30" t="s">
        <v>53</v>
      </c>
      <c r="G69" s="31">
        <f>G10-92.7</f>
        <v>1900.34</v>
      </c>
      <c r="H69" s="31">
        <f t="shared" si="1"/>
        <v>1900.34</v>
      </c>
      <c r="I69" s="84">
        <f>ROUND(H69*E69,2)</f>
        <v>239442.84</v>
      </c>
      <c r="K69" s="97"/>
      <c r="N69" s="123"/>
    </row>
    <row r="70" spans="1:14" s="8" customFormat="1" ht="45" x14ac:dyDescent="0.2">
      <c r="A70" s="83" t="s">
        <v>111</v>
      </c>
      <c r="B70" s="32" t="s">
        <v>409</v>
      </c>
      <c r="C70" s="28" t="s">
        <v>601</v>
      </c>
      <c r="D70" s="29">
        <v>140.6</v>
      </c>
      <c r="E70" s="29">
        <f t="shared" si="0"/>
        <v>178.62</v>
      </c>
      <c r="F70" s="30" t="s">
        <v>53</v>
      </c>
      <c r="G70" s="31">
        <v>1033.57</v>
      </c>
      <c r="H70" s="31">
        <f t="shared" si="1"/>
        <v>1033.57</v>
      </c>
      <c r="I70" s="84">
        <f>ROUND(H70*E70,2)</f>
        <v>184616.27</v>
      </c>
      <c r="K70" s="97"/>
    </row>
    <row r="71" spans="1:14" s="8" customFormat="1" ht="90" x14ac:dyDescent="0.2">
      <c r="A71" s="83" t="s">
        <v>112</v>
      </c>
      <c r="B71" s="32" t="s">
        <v>410</v>
      </c>
      <c r="C71" s="28" t="s">
        <v>262</v>
      </c>
      <c r="D71" s="29">
        <v>91.87</v>
      </c>
      <c r="E71" s="29">
        <f t="shared" si="0"/>
        <v>116.71</v>
      </c>
      <c r="F71" s="30" t="s">
        <v>53</v>
      </c>
      <c r="G71" s="31">
        <v>749.71</v>
      </c>
      <c r="H71" s="31">
        <f t="shared" si="1"/>
        <v>749.71</v>
      </c>
      <c r="I71" s="84">
        <f>ROUND(H71*E71,2)</f>
        <v>87498.65</v>
      </c>
      <c r="K71" s="97"/>
    </row>
    <row r="72" spans="1:14" s="8" customFormat="1" ht="90" x14ac:dyDescent="0.2">
      <c r="A72" s="83" t="s">
        <v>131</v>
      </c>
      <c r="B72" s="32" t="s">
        <v>411</v>
      </c>
      <c r="C72" s="28" t="s">
        <v>374</v>
      </c>
      <c r="D72" s="29">
        <v>91.49</v>
      </c>
      <c r="E72" s="29">
        <f t="shared" si="0"/>
        <v>116.23</v>
      </c>
      <c r="F72" s="30" t="s">
        <v>53</v>
      </c>
      <c r="G72" s="31">
        <v>98.33</v>
      </c>
      <c r="H72" s="31">
        <f t="shared" si="1"/>
        <v>98.33</v>
      </c>
      <c r="I72" s="84">
        <f>ROUND(H72*E72,2)</f>
        <v>11428.9</v>
      </c>
      <c r="K72" s="97"/>
    </row>
    <row r="73" spans="1:14" s="8" customFormat="1" ht="45" x14ac:dyDescent="0.2">
      <c r="A73" s="83" t="s">
        <v>306</v>
      </c>
      <c r="B73" s="32" t="s">
        <v>412</v>
      </c>
      <c r="C73" s="28" t="s">
        <v>373</v>
      </c>
      <c r="D73" s="29">
        <v>71.88</v>
      </c>
      <c r="E73" s="29">
        <f t="shared" si="0"/>
        <v>91.32</v>
      </c>
      <c r="F73" s="30" t="s">
        <v>53</v>
      </c>
      <c r="G73" s="31">
        <f>765.1+34.4</f>
        <v>799.5</v>
      </c>
      <c r="H73" s="31">
        <f t="shared" si="1"/>
        <v>799.5</v>
      </c>
      <c r="I73" s="84">
        <f t="shared" ref="I73:I78" si="14">ROUND(H73*E73,2)</f>
        <v>73010.34</v>
      </c>
      <c r="K73" s="97"/>
    </row>
    <row r="74" spans="1:14" s="8" customFormat="1" ht="30" x14ac:dyDescent="0.2">
      <c r="A74" s="83" t="s">
        <v>362</v>
      </c>
      <c r="B74" s="32" t="s">
        <v>413</v>
      </c>
      <c r="C74" s="28" t="s">
        <v>377</v>
      </c>
      <c r="D74" s="29">
        <v>261.13</v>
      </c>
      <c r="E74" s="29">
        <f t="shared" si="0"/>
        <v>331.74</v>
      </c>
      <c r="F74" s="30" t="s">
        <v>55</v>
      </c>
      <c r="G74" s="31">
        <f>34.4*0.1</f>
        <v>3.44</v>
      </c>
      <c r="H74" s="31">
        <f t="shared" si="1"/>
        <v>3.44</v>
      </c>
      <c r="I74" s="84">
        <f t="shared" si="14"/>
        <v>1141.19</v>
      </c>
      <c r="K74" s="97"/>
    </row>
    <row r="75" spans="1:14" s="8" customFormat="1" ht="75" x14ac:dyDescent="0.2">
      <c r="A75" s="83" t="s">
        <v>375</v>
      </c>
      <c r="B75" s="32" t="s">
        <v>414</v>
      </c>
      <c r="C75" s="28" t="s">
        <v>378</v>
      </c>
      <c r="D75" s="29">
        <v>144.78</v>
      </c>
      <c r="E75" s="29">
        <f t="shared" si="0"/>
        <v>183.93</v>
      </c>
      <c r="F75" s="30" t="s">
        <v>89</v>
      </c>
      <c r="G75" s="31">
        <f>55.42+66.28+64.58+67.71+20.12+2.65+2.15+17.88+17.88+11.96+11.96</f>
        <v>338.58999999999992</v>
      </c>
      <c r="H75" s="31">
        <f t="shared" si="1"/>
        <v>338.59</v>
      </c>
      <c r="I75" s="84">
        <f t="shared" si="14"/>
        <v>62276.86</v>
      </c>
      <c r="K75" s="97"/>
    </row>
    <row r="76" spans="1:14" s="8" customFormat="1" ht="30" x14ac:dyDescent="0.2">
      <c r="A76" s="83" t="s">
        <v>376</v>
      </c>
      <c r="B76" s="32" t="s">
        <v>415</v>
      </c>
      <c r="C76" s="28" t="s">
        <v>305</v>
      </c>
      <c r="D76" s="29">
        <v>37.880000000000003</v>
      </c>
      <c r="E76" s="29">
        <f t="shared" si="0"/>
        <v>48.12</v>
      </c>
      <c r="F76" s="30" t="s">
        <v>53</v>
      </c>
      <c r="G76" s="31">
        <v>184.83</v>
      </c>
      <c r="H76" s="31">
        <f t="shared" si="1"/>
        <v>184.83</v>
      </c>
      <c r="I76" s="84">
        <f t="shared" si="14"/>
        <v>8894.02</v>
      </c>
      <c r="K76" s="97"/>
    </row>
    <row r="77" spans="1:14" s="8" customFormat="1" ht="60" x14ac:dyDescent="0.2">
      <c r="A77" s="83" t="s">
        <v>379</v>
      </c>
      <c r="B77" s="32" t="s">
        <v>416</v>
      </c>
      <c r="C77" s="28" t="s">
        <v>363</v>
      </c>
      <c r="D77" s="29">
        <v>308.85000000000002</v>
      </c>
      <c r="E77" s="29">
        <f t="shared" si="0"/>
        <v>392.36</v>
      </c>
      <c r="F77" s="30" t="s">
        <v>53</v>
      </c>
      <c r="G77" s="31">
        <f>0.1*(30.9+3.1+8.95+21.7+9.3+1.2+2+3)</f>
        <v>8.0150000000000006</v>
      </c>
      <c r="H77" s="31">
        <f t="shared" si="1"/>
        <v>8.02</v>
      </c>
      <c r="I77" s="84">
        <f t="shared" si="14"/>
        <v>3146.73</v>
      </c>
      <c r="K77" s="97"/>
    </row>
    <row r="78" spans="1:14" s="8" customFormat="1" ht="60" x14ac:dyDescent="0.2">
      <c r="A78" s="83" t="s">
        <v>382</v>
      </c>
      <c r="B78" s="32" t="s">
        <v>417</v>
      </c>
      <c r="C78" s="28" t="s">
        <v>326</v>
      </c>
      <c r="D78" s="29">
        <v>113.87</v>
      </c>
      <c r="E78" s="29">
        <f t="shared" si="0"/>
        <v>144.66</v>
      </c>
      <c r="F78" s="30" t="s">
        <v>53</v>
      </c>
      <c r="G78" s="31">
        <f>(47.34+47.34+41.91+1.9+3.75+2.48+2.48+1.53+(1.18*15)+(1.37*3))*0.2</f>
        <v>34.107999999999997</v>
      </c>
      <c r="H78" s="31">
        <f t="shared" si="1"/>
        <v>34.11</v>
      </c>
      <c r="I78" s="84">
        <f t="shared" si="14"/>
        <v>4934.3500000000004</v>
      </c>
      <c r="K78" s="97"/>
    </row>
    <row r="79" spans="1:14" s="120" customFormat="1" ht="15.75" x14ac:dyDescent="0.25">
      <c r="A79" s="170">
        <v>9</v>
      </c>
      <c r="B79" s="171"/>
      <c r="C79" s="20" t="s">
        <v>104</v>
      </c>
      <c r="D79" s="27"/>
      <c r="E79" s="27"/>
      <c r="F79" s="27"/>
      <c r="G79" s="27"/>
      <c r="H79" s="69"/>
      <c r="I79" s="82">
        <f>SUM(I80:I83)</f>
        <v>405790.78</v>
      </c>
      <c r="K79" s="121"/>
    </row>
    <row r="80" spans="1:14" s="8" customFormat="1" ht="75" x14ac:dyDescent="0.2">
      <c r="A80" s="83" t="s">
        <v>105</v>
      </c>
      <c r="B80" s="32" t="s">
        <v>418</v>
      </c>
      <c r="C80" s="28" t="s">
        <v>245</v>
      </c>
      <c r="D80" s="29">
        <v>10.48</v>
      </c>
      <c r="E80" s="29">
        <f t="shared" si="0"/>
        <v>13.31</v>
      </c>
      <c r="F80" s="30" t="s">
        <v>53</v>
      </c>
      <c r="G80" s="31">
        <f>G50*2</f>
        <v>5048.5681999999988</v>
      </c>
      <c r="H80" s="31">
        <f t="shared" si="1"/>
        <v>5048.57</v>
      </c>
      <c r="I80" s="84">
        <f>ROUND(H80*E80,2)</f>
        <v>67196.47</v>
      </c>
      <c r="K80" s="97"/>
    </row>
    <row r="81" spans="1:11" s="8" customFormat="1" ht="30" x14ac:dyDescent="0.2">
      <c r="A81" s="83" t="s">
        <v>106</v>
      </c>
      <c r="B81" s="32" t="s">
        <v>604</v>
      </c>
      <c r="C81" s="28" t="s">
        <v>605</v>
      </c>
      <c r="D81" s="29">
        <v>27.46</v>
      </c>
      <c r="E81" s="29">
        <f t="shared" si="0"/>
        <v>34.89</v>
      </c>
      <c r="F81" s="30" t="s">
        <v>53</v>
      </c>
      <c r="G81" s="31">
        <f>G45</f>
        <v>1138.6400000000001</v>
      </c>
      <c r="H81" s="31">
        <f t="shared" si="1"/>
        <v>1138.6400000000001</v>
      </c>
      <c r="I81" s="84">
        <f t="shared" ref="I81:I83" si="15">ROUND(H81*E81,2)</f>
        <v>39727.15</v>
      </c>
      <c r="K81" s="97"/>
    </row>
    <row r="82" spans="1:11" s="8" customFormat="1" ht="75" x14ac:dyDescent="0.2">
      <c r="A82" s="83" t="s">
        <v>107</v>
      </c>
      <c r="B82" s="32" t="s">
        <v>109</v>
      </c>
      <c r="C82" s="28" t="s">
        <v>246</v>
      </c>
      <c r="D82" s="29">
        <v>32.61</v>
      </c>
      <c r="E82" s="29">
        <f t="shared" si="0"/>
        <v>41.43</v>
      </c>
      <c r="F82" s="30" t="s">
        <v>53</v>
      </c>
      <c r="G82" s="31">
        <f>G80</f>
        <v>5048.5681999999988</v>
      </c>
      <c r="H82" s="31">
        <f t="shared" si="1"/>
        <v>5048.57</v>
      </c>
      <c r="I82" s="84">
        <f t="shared" si="15"/>
        <v>209162.26</v>
      </c>
      <c r="K82" s="97"/>
    </row>
    <row r="83" spans="1:11" s="8" customFormat="1" ht="105" x14ac:dyDescent="0.2">
      <c r="A83" s="83" t="s">
        <v>108</v>
      </c>
      <c r="B83" s="32" t="s">
        <v>419</v>
      </c>
      <c r="C83" s="28" t="s">
        <v>366</v>
      </c>
      <c r="D83" s="29">
        <v>79.94</v>
      </c>
      <c r="E83" s="29">
        <f t="shared" si="0"/>
        <v>101.56</v>
      </c>
      <c r="F83" s="30" t="s">
        <v>53</v>
      </c>
      <c r="G83" s="31">
        <f>((6+6+3+3+6+6+3+3)*3.5)+((6+6+3+3+6+6+3+3)*3.5)+((2.9+2.9+1.8+1.8+2.9+2.9+1.8+1.8)*3.5)+((2.6+2.6+1.6+1.6)*3.5)+((6+6+2.5+2.5)*3.5)+((6+6+2.5+2.5)*3.5)+((2.5+2.5+2.5+2.5)*3.5)+((1.8+1.8+2.5+2.5+1.8+1.8+2.5+2.5)*3.5)+((6*2.57)+1.9+1.9+1.7+1.7+2.1+2.1)*3.5+((6+6+6+6)*3.5)+(((10*(6+6))*1.2))</f>
        <v>883.27</v>
      </c>
      <c r="H83" s="31">
        <f t="shared" ref="H83:H163" si="16">ROUND(G83,2)</f>
        <v>883.27</v>
      </c>
      <c r="I83" s="84">
        <f t="shared" si="15"/>
        <v>89704.9</v>
      </c>
      <c r="K83" s="97"/>
    </row>
    <row r="84" spans="1:11" s="120" customFormat="1" ht="15.75" x14ac:dyDescent="0.25">
      <c r="A84" s="170">
        <v>10</v>
      </c>
      <c r="B84" s="171"/>
      <c r="C84" s="20" t="s">
        <v>113</v>
      </c>
      <c r="D84" s="27"/>
      <c r="E84" s="27"/>
      <c r="F84" s="27"/>
      <c r="G84" s="27"/>
      <c r="H84" s="69"/>
      <c r="I84" s="82">
        <f>SUM(I85:I120)</f>
        <v>197459.68000000005</v>
      </c>
      <c r="K84" s="121"/>
    </row>
    <row r="85" spans="1:11" s="8" customFormat="1" ht="75" x14ac:dyDescent="0.2">
      <c r="A85" s="83" t="s">
        <v>142</v>
      </c>
      <c r="B85" s="32" t="s">
        <v>485</v>
      </c>
      <c r="C85" s="28" t="s">
        <v>607</v>
      </c>
      <c r="D85" s="29">
        <v>5363.7</v>
      </c>
      <c r="E85" s="29">
        <f t="shared" ref="E85:E120" si="17">ROUND(D85+$F$3*D85,2)</f>
        <v>6814.04</v>
      </c>
      <c r="F85" s="30" t="s">
        <v>22</v>
      </c>
      <c r="G85" s="31">
        <v>1</v>
      </c>
      <c r="H85" s="31">
        <f t="shared" ref="H85:H120" si="18">ROUND(G85,2)</f>
        <v>1</v>
      </c>
      <c r="I85" s="84">
        <f>ROUND(H85*E85,2)</f>
        <v>6814.04</v>
      </c>
      <c r="K85" s="97"/>
    </row>
    <row r="86" spans="1:11" s="8" customFormat="1" ht="60" x14ac:dyDescent="0.2">
      <c r="A86" s="83" t="s">
        <v>143</v>
      </c>
      <c r="B86" s="32" t="s">
        <v>420</v>
      </c>
      <c r="C86" s="28" t="s">
        <v>608</v>
      </c>
      <c r="D86" s="29">
        <v>211.09</v>
      </c>
      <c r="E86" s="29">
        <f t="shared" si="17"/>
        <v>268.17</v>
      </c>
      <c r="F86" s="30" t="s">
        <v>22</v>
      </c>
      <c r="G86" s="31">
        <v>2</v>
      </c>
      <c r="H86" s="31">
        <f t="shared" si="18"/>
        <v>2</v>
      </c>
      <c r="I86" s="84">
        <f t="shared" ref="I86:I120" si="19">ROUND(H86*E86,2)</f>
        <v>536.34</v>
      </c>
      <c r="K86" s="97"/>
    </row>
    <row r="87" spans="1:11" s="8" customFormat="1" ht="60" x14ac:dyDescent="0.2">
      <c r="A87" s="83" t="s">
        <v>144</v>
      </c>
      <c r="B87" s="32" t="s">
        <v>486</v>
      </c>
      <c r="C87" s="28" t="s">
        <v>487</v>
      </c>
      <c r="D87" s="29">
        <v>112.59</v>
      </c>
      <c r="E87" s="29">
        <f t="shared" si="17"/>
        <v>143.03</v>
      </c>
      <c r="F87" s="30" t="s">
        <v>89</v>
      </c>
      <c r="G87" s="31">
        <f>66+22</f>
        <v>88</v>
      </c>
      <c r="H87" s="31">
        <f t="shared" si="18"/>
        <v>88</v>
      </c>
      <c r="I87" s="84">
        <f t="shared" si="19"/>
        <v>12586.64</v>
      </c>
      <c r="K87" s="97"/>
    </row>
    <row r="88" spans="1:11" s="8" customFormat="1" ht="60" x14ac:dyDescent="0.2">
      <c r="A88" s="83" t="s">
        <v>145</v>
      </c>
      <c r="B88" s="32" t="s">
        <v>488</v>
      </c>
      <c r="C88" s="28" t="s">
        <v>489</v>
      </c>
      <c r="D88" s="29">
        <v>44.86</v>
      </c>
      <c r="E88" s="29">
        <f t="shared" si="17"/>
        <v>56.99</v>
      </c>
      <c r="F88" s="30" t="s">
        <v>89</v>
      </c>
      <c r="G88" s="31">
        <v>22</v>
      </c>
      <c r="H88" s="31">
        <f t="shared" si="18"/>
        <v>22</v>
      </c>
      <c r="I88" s="84">
        <f t="shared" si="19"/>
        <v>1253.78</v>
      </c>
      <c r="K88" s="97"/>
    </row>
    <row r="89" spans="1:11" s="8" customFormat="1" ht="61.5" customHeight="1" x14ac:dyDescent="0.2">
      <c r="A89" s="83" t="s">
        <v>146</v>
      </c>
      <c r="B89" s="32" t="s">
        <v>490</v>
      </c>
      <c r="C89" s="28" t="s">
        <v>609</v>
      </c>
      <c r="D89" s="29">
        <v>48.23</v>
      </c>
      <c r="E89" s="29">
        <f t="shared" si="17"/>
        <v>61.27</v>
      </c>
      <c r="F89" s="30" t="s">
        <v>89</v>
      </c>
      <c r="G89" s="31">
        <v>20</v>
      </c>
      <c r="H89" s="31">
        <f t="shared" si="18"/>
        <v>20</v>
      </c>
      <c r="I89" s="84">
        <f t="shared" si="19"/>
        <v>1225.4000000000001</v>
      </c>
      <c r="K89" s="97"/>
    </row>
    <row r="90" spans="1:11" s="8" customFormat="1" ht="60" customHeight="1" x14ac:dyDescent="0.2">
      <c r="A90" s="83" t="s">
        <v>147</v>
      </c>
      <c r="B90" s="32" t="s">
        <v>491</v>
      </c>
      <c r="C90" s="28" t="s">
        <v>492</v>
      </c>
      <c r="D90" s="29">
        <v>3.18</v>
      </c>
      <c r="E90" s="29">
        <f t="shared" si="17"/>
        <v>4.04</v>
      </c>
      <c r="F90" s="30" t="s">
        <v>89</v>
      </c>
      <c r="G90" s="31">
        <f>1130+1130+150</f>
        <v>2410</v>
      </c>
      <c r="H90" s="31">
        <f t="shared" si="18"/>
        <v>2410</v>
      </c>
      <c r="I90" s="84">
        <f t="shared" si="19"/>
        <v>9736.4</v>
      </c>
      <c r="K90" s="97"/>
    </row>
    <row r="91" spans="1:11" s="8" customFormat="1" ht="66.75" customHeight="1" x14ac:dyDescent="0.2">
      <c r="A91" s="83" t="s">
        <v>148</v>
      </c>
      <c r="B91" s="32" t="s">
        <v>493</v>
      </c>
      <c r="C91" s="28" t="s">
        <v>494</v>
      </c>
      <c r="D91" s="29">
        <v>4.6399999999999997</v>
      </c>
      <c r="E91" s="29">
        <f t="shared" si="17"/>
        <v>5.89</v>
      </c>
      <c r="F91" s="30" t="s">
        <v>89</v>
      </c>
      <c r="G91" s="31">
        <f>550+550+550</f>
        <v>1650</v>
      </c>
      <c r="H91" s="31">
        <f t="shared" si="18"/>
        <v>1650</v>
      </c>
      <c r="I91" s="84">
        <f t="shared" si="19"/>
        <v>9718.5</v>
      </c>
      <c r="K91" s="97"/>
    </row>
    <row r="92" spans="1:11" s="8" customFormat="1" ht="63" customHeight="1" x14ac:dyDescent="0.2">
      <c r="A92" s="83" t="s">
        <v>495</v>
      </c>
      <c r="B92" s="32" t="s">
        <v>496</v>
      </c>
      <c r="C92" s="28" t="s">
        <v>497</v>
      </c>
      <c r="D92" s="29">
        <v>6.45</v>
      </c>
      <c r="E92" s="29">
        <f t="shared" si="17"/>
        <v>8.19</v>
      </c>
      <c r="F92" s="30" t="s">
        <v>89</v>
      </c>
      <c r="G92" s="31">
        <f>200+200+200</f>
        <v>600</v>
      </c>
      <c r="H92" s="31">
        <f t="shared" si="18"/>
        <v>600</v>
      </c>
      <c r="I92" s="84">
        <f t="shared" si="19"/>
        <v>4914</v>
      </c>
      <c r="K92" s="97"/>
    </row>
    <row r="93" spans="1:11" s="8" customFormat="1" ht="63.75" customHeight="1" x14ac:dyDescent="0.2">
      <c r="A93" s="83" t="s">
        <v>149</v>
      </c>
      <c r="B93" s="32" t="s">
        <v>498</v>
      </c>
      <c r="C93" s="28" t="s">
        <v>499</v>
      </c>
      <c r="D93" s="29">
        <v>9.01</v>
      </c>
      <c r="E93" s="29">
        <f t="shared" si="17"/>
        <v>11.45</v>
      </c>
      <c r="F93" s="30" t="s">
        <v>89</v>
      </c>
      <c r="G93" s="31">
        <f>100+100+100</f>
        <v>300</v>
      </c>
      <c r="H93" s="31">
        <f t="shared" si="18"/>
        <v>300</v>
      </c>
      <c r="I93" s="84">
        <f t="shared" si="19"/>
        <v>3435</v>
      </c>
      <c r="K93" s="97"/>
    </row>
    <row r="94" spans="1:11" s="8" customFormat="1" ht="45" x14ac:dyDescent="0.2">
      <c r="A94" s="83" t="s">
        <v>500</v>
      </c>
      <c r="B94" s="32" t="s">
        <v>501</v>
      </c>
      <c r="C94" s="28" t="s">
        <v>502</v>
      </c>
      <c r="D94" s="29">
        <v>1223.53</v>
      </c>
      <c r="E94" s="29">
        <f t="shared" si="17"/>
        <v>1554.37</v>
      </c>
      <c r="F94" s="30" t="s">
        <v>22</v>
      </c>
      <c r="G94" s="31">
        <v>1</v>
      </c>
      <c r="H94" s="31">
        <f t="shared" si="18"/>
        <v>1</v>
      </c>
      <c r="I94" s="84">
        <f t="shared" si="19"/>
        <v>1554.37</v>
      </c>
      <c r="K94" s="97"/>
    </row>
    <row r="95" spans="1:11" s="8" customFormat="1" ht="30" x14ac:dyDescent="0.2">
      <c r="A95" s="83" t="s">
        <v>150</v>
      </c>
      <c r="B95" s="32" t="s">
        <v>503</v>
      </c>
      <c r="C95" s="28" t="s">
        <v>504</v>
      </c>
      <c r="D95" s="29">
        <v>43.85</v>
      </c>
      <c r="E95" s="29">
        <f t="shared" si="17"/>
        <v>55.71</v>
      </c>
      <c r="F95" s="30" t="s">
        <v>22</v>
      </c>
      <c r="G95" s="31">
        <v>15</v>
      </c>
      <c r="H95" s="31">
        <f t="shared" si="18"/>
        <v>15</v>
      </c>
      <c r="I95" s="84">
        <f t="shared" si="19"/>
        <v>835.65</v>
      </c>
      <c r="K95" s="97"/>
    </row>
    <row r="96" spans="1:11" s="8" customFormat="1" ht="30" x14ac:dyDescent="0.2">
      <c r="A96" s="83" t="s">
        <v>151</v>
      </c>
      <c r="B96" s="32" t="s">
        <v>505</v>
      </c>
      <c r="C96" s="28" t="s">
        <v>506</v>
      </c>
      <c r="D96" s="29">
        <v>52.59</v>
      </c>
      <c r="E96" s="29">
        <f t="shared" si="17"/>
        <v>66.81</v>
      </c>
      <c r="F96" s="30" t="s">
        <v>22</v>
      </c>
      <c r="G96" s="31">
        <v>12</v>
      </c>
      <c r="H96" s="31">
        <f t="shared" si="18"/>
        <v>12</v>
      </c>
      <c r="I96" s="84">
        <f t="shared" si="19"/>
        <v>801.72</v>
      </c>
      <c r="K96" s="97"/>
    </row>
    <row r="97" spans="1:11" s="8" customFormat="1" ht="45" x14ac:dyDescent="0.2">
      <c r="A97" s="83" t="s">
        <v>152</v>
      </c>
      <c r="B97" s="32" t="s">
        <v>507</v>
      </c>
      <c r="C97" s="28" t="s">
        <v>508</v>
      </c>
      <c r="D97" s="29">
        <v>19.57</v>
      </c>
      <c r="E97" s="29">
        <f t="shared" si="17"/>
        <v>24.86</v>
      </c>
      <c r="F97" s="30" t="s">
        <v>22</v>
      </c>
      <c r="G97" s="31">
        <v>2</v>
      </c>
      <c r="H97" s="31">
        <f t="shared" si="18"/>
        <v>2</v>
      </c>
      <c r="I97" s="84">
        <f t="shared" si="19"/>
        <v>49.72</v>
      </c>
      <c r="K97" s="97"/>
    </row>
    <row r="98" spans="1:11" s="8" customFormat="1" ht="45" x14ac:dyDescent="0.2">
      <c r="A98" s="83" t="s">
        <v>153</v>
      </c>
      <c r="B98" s="32" t="s">
        <v>509</v>
      </c>
      <c r="C98" s="28" t="s">
        <v>510</v>
      </c>
      <c r="D98" s="29">
        <v>16.52</v>
      </c>
      <c r="E98" s="29">
        <f t="shared" si="17"/>
        <v>20.99</v>
      </c>
      <c r="F98" s="30" t="s">
        <v>22</v>
      </c>
      <c r="G98" s="31">
        <v>3</v>
      </c>
      <c r="H98" s="31">
        <f t="shared" si="18"/>
        <v>3</v>
      </c>
      <c r="I98" s="84">
        <f t="shared" si="19"/>
        <v>62.97</v>
      </c>
      <c r="K98" s="97"/>
    </row>
    <row r="99" spans="1:11" s="8" customFormat="1" ht="45" x14ac:dyDescent="0.2">
      <c r="A99" s="83" t="s">
        <v>154</v>
      </c>
      <c r="B99" s="32" t="s">
        <v>511</v>
      </c>
      <c r="C99" s="28" t="s">
        <v>512</v>
      </c>
      <c r="D99" s="29">
        <v>18.41</v>
      </c>
      <c r="E99" s="29">
        <f t="shared" si="17"/>
        <v>23.39</v>
      </c>
      <c r="F99" s="30" t="s">
        <v>22</v>
      </c>
      <c r="G99" s="31">
        <v>9</v>
      </c>
      <c r="H99" s="31">
        <f t="shared" si="18"/>
        <v>9</v>
      </c>
      <c r="I99" s="84">
        <f t="shared" si="19"/>
        <v>210.51</v>
      </c>
      <c r="K99" s="97"/>
    </row>
    <row r="100" spans="1:11" s="8" customFormat="1" ht="45" x14ac:dyDescent="0.2">
      <c r="A100" s="83" t="s">
        <v>155</v>
      </c>
      <c r="B100" s="32" t="s">
        <v>513</v>
      </c>
      <c r="C100" s="28" t="s">
        <v>514</v>
      </c>
      <c r="D100" s="29">
        <v>472.02</v>
      </c>
      <c r="E100" s="29">
        <f t="shared" si="17"/>
        <v>599.65</v>
      </c>
      <c r="F100" s="30" t="s">
        <v>22</v>
      </c>
      <c r="G100" s="31">
        <v>1</v>
      </c>
      <c r="H100" s="31">
        <f t="shared" si="18"/>
        <v>1</v>
      </c>
      <c r="I100" s="84">
        <f t="shared" si="19"/>
        <v>599.65</v>
      </c>
      <c r="K100" s="97"/>
    </row>
    <row r="101" spans="1:11" s="8" customFormat="1" ht="66" customHeight="1" x14ac:dyDescent="0.2">
      <c r="A101" s="83" t="s">
        <v>204</v>
      </c>
      <c r="B101" s="32" t="s">
        <v>515</v>
      </c>
      <c r="C101" s="28" t="s">
        <v>610</v>
      </c>
      <c r="D101" s="29">
        <v>89</v>
      </c>
      <c r="E101" s="29">
        <f t="shared" si="17"/>
        <v>113.07</v>
      </c>
      <c r="F101" s="30" t="s">
        <v>89</v>
      </c>
      <c r="G101" s="31">
        <v>150</v>
      </c>
      <c r="H101" s="31">
        <f t="shared" si="18"/>
        <v>150</v>
      </c>
      <c r="I101" s="84">
        <f t="shared" si="19"/>
        <v>16960.5</v>
      </c>
      <c r="K101" s="97"/>
    </row>
    <row r="102" spans="1:11" s="8" customFormat="1" ht="44.25" customHeight="1" x14ac:dyDescent="0.2">
      <c r="A102" s="83" t="s">
        <v>156</v>
      </c>
      <c r="B102" s="32" t="s">
        <v>516</v>
      </c>
      <c r="C102" s="28" t="s">
        <v>200</v>
      </c>
      <c r="D102" s="29">
        <v>167.86</v>
      </c>
      <c r="E102" s="29">
        <f t="shared" si="17"/>
        <v>213.25</v>
      </c>
      <c r="F102" s="30" t="s">
        <v>22</v>
      </c>
      <c r="G102" s="31">
        <v>17</v>
      </c>
      <c r="H102" s="31">
        <f t="shared" si="18"/>
        <v>17</v>
      </c>
      <c r="I102" s="84">
        <f t="shared" si="19"/>
        <v>3625.25</v>
      </c>
      <c r="K102" s="97"/>
    </row>
    <row r="103" spans="1:11" s="8" customFormat="1" ht="60" x14ac:dyDescent="0.2">
      <c r="A103" s="83" t="s">
        <v>205</v>
      </c>
      <c r="B103" s="32" t="s">
        <v>517</v>
      </c>
      <c r="C103" s="28" t="s">
        <v>518</v>
      </c>
      <c r="D103" s="29">
        <v>6.34</v>
      </c>
      <c r="E103" s="29">
        <f t="shared" si="17"/>
        <v>8.0500000000000007</v>
      </c>
      <c r="F103" s="30" t="s">
        <v>89</v>
      </c>
      <c r="G103" s="31">
        <v>750</v>
      </c>
      <c r="H103" s="31">
        <f t="shared" si="18"/>
        <v>750</v>
      </c>
      <c r="I103" s="84">
        <f t="shared" si="19"/>
        <v>6037.5</v>
      </c>
      <c r="K103" s="97"/>
    </row>
    <row r="104" spans="1:11" s="8" customFormat="1" ht="45" x14ac:dyDescent="0.2">
      <c r="A104" s="83" t="s">
        <v>206</v>
      </c>
      <c r="B104" s="32" t="s">
        <v>519</v>
      </c>
      <c r="C104" s="28" t="s">
        <v>611</v>
      </c>
      <c r="D104" s="29">
        <v>7.15</v>
      </c>
      <c r="E104" s="29">
        <f t="shared" si="17"/>
        <v>9.08</v>
      </c>
      <c r="F104" s="30" t="s">
        <v>89</v>
      </c>
      <c r="G104" s="31">
        <v>1100</v>
      </c>
      <c r="H104" s="31">
        <f t="shared" si="18"/>
        <v>1100</v>
      </c>
      <c r="I104" s="84">
        <f t="shared" si="19"/>
        <v>9988</v>
      </c>
      <c r="K104" s="97"/>
    </row>
    <row r="105" spans="1:11" s="8" customFormat="1" ht="45" x14ac:dyDescent="0.2">
      <c r="A105" s="83" t="s">
        <v>157</v>
      </c>
      <c r="B105" s="32" t="s">
        <v>520</v>
      </c>
      <c r="C105" s="28" t="s">
        <v>612</v>
      </c>
      <c r="D105" s="29">
        <v>9.65</v>
      </c>
      <c r="E105" s="29">
        <f t="shared" si="17"/>
        <v>12.26</v>
      </c>
      <c r="F105" s="30" t="s">
        <v>89</v>
      </c>
      <c r="G105" s="31">
        <v>300</v>
      </c>
      <c r="H105" s="31">
        <f t="shared" si="18"/>
        <v>300</v>
      </c>
      <c r="I105" s="84">
        <f t="shared" si="19"/>
        <v>3678</v>
      </c>
      <c r="K105" s="97"/>
    </row>
    <row r="106" spans="1:11" s="8" customFormat="1" ht="45" x14ac:dyDescent="0.2">
      <c r="A106" s="83" t="s">
        <v>158</v>
      </c>
      <c r="B106" s="32" t="s">
        <v>521</v>
      </c>
      <c r="C106" s="28" t="s">
        <v>522</v>
      </c>
      <c r="D106" s="29">
        <v>20.36</v>
      </c>
      <c r="E106" s="29">
        <f t="shared" si="17"/>
        <v>25.87</v>
      </c>
      <c r="F106" s="30" t="s">
        <v>89</v>
      </c>
      <c r="G106" s="31">
        <v>180</v>
      </c>
      <c r="H106" s="31">
        <f t="shared" si="18"/>
        <v>180</v>
      </c>
      <c r="I106" s="84">
        <f t="shared" si="19"/>
        <v>4656.6000000000004</v>
      </c>
      <c r="K106" s="97"/>
    </row>
    <row r="107" spans="1:11" s="8" customFormat="1" ht="60" x14ac:dyDescent="0.2">
      <c r="A107" s="83" t="s">
        <v>207</v>
      </c>
      <c r="B107" s="32" t="s">
        <v>423</v>
      </c>
      <c r="C107" s="28" t="s">
        <v>189</v>
      </c>
      <c r="D107" s="29">
        <v>31.53</v>
      </c>
      <c r="E107" s="29">
        <f t="shared" si="17"/>
        <v>40.06</v>
      </c>
      <c r="F107" s="30" t="s">
        <v>22</v>
      </c>
      <c r="G107" s="31">
        <v>1</v>
      </c>
      <c r="H107" s="31">
        <f t="shared" si="18"/>
        <v>1</v>
      </c>
      <c r="I107" s="84">
        <f t="shared" si="19"/>
        <v>40.06</v>
      </c>
      <c r="K107" s="97"/>
    </row>
    <row r="108" spans="1:11" s="8" customFormat="1" ht="90" x14ac:dyDescent="0.2">
      <c r="A108" s="83" t="s">
        <v>208</v>
      </c>
      <c r="B108" s="32" t="s">
        <v>523</v>
      </c>
      <c r="C108" s="28" t="s">
        <v>524</v>
      </c>
      <c r="D108" s="29">
        <v>66.319999999999993</v>
      </c>
      <c r="E108" s="29">
        <f t="shared" si="17"/>
        <v>84.25</v>
      </c>
      <c r="F108" s="30" t="s">
        <v>22</v>
      </c>
      <c r="G108" s="31">
        <v>43</v>
      </c>
      <c r="H108" s="31">
        <f t="shared" si="18"/>
        <v>43</v>
      </c>
      <c r="I108" s="84">
        <f t="shared" si="19"/>
        <v>3622.75</v>
      </c>
      <c r="K108" s="97"/>
    </row>
    <row r="109" spans="1:11" s="8" customFormat="1" ht="60" x14ac:dyDescent="0.2">
      <c r="A109" s="83" t="s">
        <v>368</v>
      </c>
      <c r="B109" s="32" t="s">
        <v>421</v>
      </c>
      <c r="C109" s="28" t="s">
        <v>367</v>
      </c>
      <c r="D109" s="29">
        <v>33.71</v>
      </c>
      <c r="E109" s="29">
        <f t="shared" si="17"/>
        <v>42.83</v>
      </c>
      <c r="F109" s="30" t="s">
        <v>22</v>
      </c>
      <c r="G109" s="31">
        <v>79</v>
      </c>
      <c r="H109" s="31">
        <f t="shared" si="18"/>
        <v>79</v>
      </c>
      <c r="I109" s="84">
        <f t="shared" si="19"/>
        <v>3383.57</v>
      </c>
      <c r="K109" s="97"/>
    </row>
    <row r="110" spans="1:11" s="8" customFormat="1" ht="75" x14ac:dyDescent="0.2">
      <c r="A110" s="83" t="s">
        <v>369</v>
      </c>
      <c r="B110" s="32" t="s">
        <v>422</v>
      </c>
      <c r="C110" s="28" t="s">
        <v>525</v>
      </c>
      <c r="D110" s="29">
        <v>37.57</v>
      </c>
      <c r="E110" s="29">
        <f t="shared" si="17"/>
        <v>47.73</v>
      </c>
      <c r="F110" s="30" t="s">
        <v>22</v>
      </c>
      <c r="G110" s="31">
        <f>16+12</f>
        <v>28</v>
      </c>
      <c r="H110" s="31">
        <f t="shared" si="18"/>
        <v>28</v>
      </c>
      <c r="I110" s="84">
        <f t="shared" si="19"/>
        <v>1336.44</v>
      </c>
      <c r="K110" s="97"/>
    </row>
    <row r="111" spans="1:11" s="8" customFormat="1" ht="60" x14ac:dyDescent="0.2">
      <c r="A111" s="83" t="s">
        <v>370</v>
      </c>
      <c r="B111" s="32" t="s">
        <v>424</v>
      </c>
      <c r="C111" s="28" t="s">
        <v>188</v>
      </c>
      <c r="D111" s="29">
        <v>174.54</v>
      </c>
      <c r="E111" s="29">
        <f t="shared" si="17"/>
        <v>221.74</v>
      </c>
      <c r="F111" s="30" t="s">
        <v>22</v>
      </c>
      <c r="G111" s="31">
        <v>164</v>
      </c>
      <c r="H111" s="31">
        <f t="shared" si="18"/>
        <v>164</v>
      </c>
      <c r="I111" s="84">
        <f t="shared" si="19"/>
        <v>36365.360000000001</v>
      </c>
      <c r="K111" s="97"/>
    </row>
    <row r="112" spans="1:11" s="8" customFormat="1" ht="30" x14ac:dyDescent="0.2">
      <c r="A112" s="83" t="s">
        <v>371</v>
      </c>
      <c r="B112" s="32" t="s">
        <v>526</v>
      </c>
      <c r="C112" s="28" t="s">
        <v>527</v>
      </c>
      <c r="D112" s="29">
        <v>69.760000000000005</v>
      </c>
      <c r="E112" s="29">
        <f t="shared" si="17"/>
        <v>88.62</v>
      </c>
      <c r="F112" s="30" t="s">
        <v>22</v>
      </c>
      <c r="G112" s="31">
        <v>27</v>
      </c>
      <c r="H112" s="31">
        <f t="shared" si="18"/>
        <v>27</v>
      </c>
      <c r="I112" s="84">
        <f t="shared" si="19"/>
        <v>2392.7399999999998</v>
      </c>
      <c r="K112" s="97"/>
    </row>
    <row r="113" spans="1:11" s="8" customFormat="1" ht="30" x14ac:dyDescent="0.2">
      <c r="A113" s="83" t="s">
        <v>372</v>
      </c>
      <c r="B113" s="32" t="s">
        <v>528</v>
      </c>
      <c r="C113" s="28" t="s">
        <v>529</v>
      </c>
      <c r="D113" s="29">
        <v>167.07</v>
      </c>
      <c r="E113" s="29">
        <f t="shared" si="17"/>
        <v>212.25</v>
      </c>
      <c r="F113" s="30" t="s">
        <v>22</v>
      </c>
      <c r="G113" s="31">
        <v>6</v>
      </c>
      <c r="H113" s="31">
        <f t="shared" si="18"/>
        <v>6</v>
      </c>
      <c r="I113" s="84">
        <f t="shared" si="19"/>
        <v>1273.5</v>
      </c>
      <c r="K113" s="97"/>
    </row>
    <row r="114" spans="1:11" s="8" customFormat="1" ht="45" x14ac:dyDescent="0.2">
      <c r="A114" s="83" t="s">
        <v>380</v>
      </c>
      <c r="B114" s="32" t="s">
        <v>425</v>
      </c>
      <c r="C114" s="28" t="s">
        <v>613</v>
      </c>
      <c r="D114" s="29">
        <v>103.38</v>
      </c>
      <c r="E114" s="29">
        <f t="shared" si="17"/>
        <v>131.33000000000001</v>
      </c>
      <c r="F114" s="30" t="s">
        <v>22</v>
      </c>
      <c r="G114" s="31">
        <v>38</v>
      </c>
      <c r="H114" s="31">
        <f t="shared" si="18"/>
        <v>38</v>
      </c>
      <c r="I114" s="84">
        <f t="shared" si="19"/>
        <v>4990.54</v>
      </c>
      <c r="K114" s="97"/>
    </row>
    <row r="115" spans="1:11" s="8" customFormat="1" ht="45" x14ac:dyDescent="0.2">
      <c r="A115" s="83" t="s">
        <v>381</v>
      </c>
      <c r="B115" s="32" t="s">
        <v>426</v>
      </c>
      <c r="C115" s="28" t="s">
        <v>530</v>
      </c>
      <c r="D115" s="29">
        <v>17.98</v>
      </c>
      <c r="E115" s="29">
        <f t="shared" si="17"/>
        <v>22.84</v>
      </c>
      <c r="F115" s="30" t="s">
        <v>22</v>
      </c>
      <c r="G115" s="31">
        <v>38</v>
      </c>
      <c r="H115" s="31">
        <f t="shared" si="18"/>
        <v>38</v>
      </c>
      <c r="I115" s="84">
        <f t="shared" si="19"/>
        <v>867.92</v>
      </c>
      <c r="K115" s="97"/>
    </row>
    <row r="116" spans="1:11" s="8" customFormat="1" ht="60" x14ac:dyDescent="0.2">
      <c r="A116" s="83" t="s">
        <v>531</v>
      </c>
      <c r="B116" s="32" t="s">
        <v>532</v>
      </c>
      <c r="C116" s="28" t="s">
        <v>533</v>
      </c>
      <c r="D116" s="29">
        <v>104.82</v>
      </c>
      <c r="E116" s="29">
        <f t="shared" si="17"/>
        <v>133.16</v>
      </c>
      <c r="F116" s="30" t="s">
        <v>22</v>
      </c>
      <c r="G116" s="31">
        <v>24</v>
      </c>
      <c r="H116" s="31">
        <f t="shared" si="18"/>
        <v>24</v>
      </c>
      <c r="I116" s="84">
        <f t="shared" si="19"/>
        <v>3195.84</v>
      </c>
      <c r="K116" s="97"/>
    </row>
    <row r="117" spans="1:11" s="8" customFormat="1" ht="45" x14ac:dyDescent="0.2">
      <c r="A117" s="83" t="s">
        <v>534</v>
      </c>
      <c r="B117" s="32" t="s">
        <v>535</v>
      </c>
      <c r="C117" s="28" t="s">
        <v>536</v>
      </c>
      <c r="D117" s="29">
        <v>127.64</v>
      </c>
      <c r="E117" s="29">
        <f t="shared" si="17"/>
        <v>162.15</v>
      </c>
      <c r="F117" s="30" t="s">
        <v>22</v>
      </c>
      <c r="G117" s="31">
        <v>24</v>
      </c>
      <c r="H117" s="31">
        <f t="shared" si="18"/>
        <v>24</v>
      </c>
      <c r="I117" s="84">
        <f t="shared" si="19"/>
        <v>3891.6</v>
      </c>
      <c r="K117" s="97"/>
    </row>
    <row r="118" spans="1:11" s="8" customFormat="1" ht="43.5" customHeight="1" x14ac:dyDescent="0.2">
      <c r="A118" s="83" t="s">
        <v>537</v>
      </c>
      <c r="B118" s="32" t="s">
        <v>538</v>
      </c>
      <c r="C118" s="28" t="s">
        <v>614</v>
      </c>
      <c r="D118" s="29">
        <v>42.15</v>
      </c>
      <c r="E118" s="29">
        <f t="shared" si="17"/>
        <v>53.55</v>
      </c>
      <c r="F118" s="30" t="s">
        <v>89</v>
      </c>
      <c r="G118" s="31">
        <v>250</v>
      </c>
      <c r="H118" s="31">
        <f t="shared" si="18"/>
        <v>250</v>
      </c>
      <c r="I118" s="84">
        <f t="shared" si="19"/>
        <v>13387.5</v>
      </c>
      <c r="K118" s="97"/>
    </row>
    <row r="119" spans="1:11" s="8" customFormat="1" ht="60" x14ac:dyDescent="0.2">
      <c r="A119" s="83" t="s">
        <v>539</v>
      </c>
      <c r="B119" s="32" t="s">
        <v>540</v>
      </c>
      <c r="C119" s="28" t="s">
        <v>615</v>
      </c>
      <c r="D119" s="29">
        <v>16.62</v>
      </c>
      <c r="E119" s="29">
        <f t="shared" si="17"/>
        <v>21.11</v>
      </c>
      <c r="F119" s="30" t="s">
        <v>89</v>
      </c>
      <c r="G119" s="31">
        <v>72</v>
      </c>
      <c r="H119" s="31">
        <f t="shared" si="18"/>
        <v>72</v>
      </c>
      <c r="I119" s="84">
        <f t="shared" si="19"/>
        <v>1519.92</v>
      </c>
      <c r="K119" s="97"/>
    </row>
    <row r="120" spans="1:11" s="8" customFormat="1" ht="45" x14ac:dyDescent="0.2">
      <c r="A120" s="83" t="s">
        <v>541</v>
      </c>
      <c r="B120" s="32" t="s">
        <v>542</v>
      </c>
      <c r="C120" s="28" t="s">
        <v>543</v>
      </c>
      <c r="D120" s="29">
        <v>27.38</v>
      </c>
      <c r="E120" s="29">
        <f t="shared" si="17"/>
        <v>34.78</v>
      </c>
      <c r="F120" s="30" t="s">
        <v>22</v>
      </c>
      <c r="G120" s="31">
        <f>330+300</f>
        <v>630</v>
      </c>
      <c r="H120" s="31">
        <f t="shared" si="18"/>
        <v>630</v>
      </c>
      <c r="I120" s="84">
        <f t="shared" si="19"/>
        <v>21911.4</v>
      </c>
      <c r="K120" s="97"/>
    </row>
    <row r="121" spans="1:11" s="108" customFormat="1" ht="15.75" x14ac:dyDescent="0.25">
      <c r="A121" s="170">
        <v>11</v>
      </c>
      <c r="B121" s="171"/>
      <c r="C121" s="20" t="s">
        <v>198</v>
      </c>
      <c r="D121" s="27"/>
      <c r="E121" s="27"/>
      <c r="F121" s="27"/>
      <c r="G121" s="27"/>
      <c r="H121" s="69"/>
      <c r="I121" s="82">
        <f>SUM(I122:I125)</f>
        <v>8254.67</v>
      </c>
      <c r="K121" s="109"/>
    </row>
    <row r="122" spans="1:11" s="8" customFormat="1" ht="30" x14ac:dyDescent="0.2">
      <c r="A122" s="83" t="s">
        <v>127</v>
      </c>
      <c r="B122" s="32" t="s">
        <v>483</v>
      </c>
      <c r="C122" s="28" t="s">
        <v>199</v>
      </c>
      <c r="D122" s="29">
        <v>3690.8</v>
      </c>
      <c r="E122" s="29">
        <f t="shared" ref="E122:E125" si="20">ROUND(D122+$F$3*D122,2)</f>
        <v>4688.79</v>
      </c>
      <c r="F122" s="30" t="s">
        <v>22</v>
      </c>
      <c r="G122" s="31">
        <v>1</v>
      </c>
      <c r="H122" s="31">
        <f t="shared" si="16"/>
        <v>1</v>
      </c>
      <c r="I122" s="84">
        <f>ROUND(H122*E122,2)</f>
        <v>4688.79</v>
      </c>
      <c r="K122" s="97"/>
    </row>
    <row r="123" spans="1:11" s="8" customFormat="1" ht="60" x14ac:dyDescent="0.2">
      <c r="A123" s="83" t="s">
        <v>128</v>
      </c>
      <c r="B123" s="32" t="s">
        <v>427</v>
      </c>
      <c r="C123" s="28" t="s">
        <v>200</v>
      </c>
      <c r="D123" s="29">
        <v>167.86</v>
      </c>
      <c r="E123" s="29">
        <f t="shared" si="20"/>
        <v>213.25</v>
      </c>
      <c r="F123" s="30" t="s">
        <v>22</v>
      </c>
      <c r="G123" s="31">
        <v>10</v>
      </c>
      <c r="H123" s="31">
        <f t="shared" si="16"/>
        <v>10</v>
      </c>
      <c r="I123" s="84">
        <f t="shared" ref="I123:I125" si="21">ROUND(H123*E123,2)</f>
        <v>2132.5</v>
      </c>
      <c r="K123" s="97"/>
    </row>
    <row r="124" spans="1:11" s="8" customFormat="1" ht="30" x14ac:dyDescent="0.2">
      <c r="A124" s="83" t="s">
        <v>209</v>
      </c>
      <c r="B124" s="32" t="s">
        <v>484</v>
      </c>
      <c r="C124" s="28" t="s">
        <v>602</v>
      </c>
      <c r="D124" s="29">
        <v>367.9</v>
      </c>
      <c r="E124" s="29">
        <f t="shared" si="20"/>
        <v>467.38</v>
      </c>
      <c r="F124" s="30" t="s">
        <v>22</v>
      </c>
      <c r="G124" s="31">
        <v>1</v>
      </c>
      <c r="H124" s="31">
        <f t="shared" si="16"/>
        <v>1</v>
      </c>
      <c r="I124" s="84">
        <f t="shared" si="21"/>
        <v>467.38</v>
      </c>
      <c r="K124" s="97"/>
    </row>
    <row r="125" spans="1:11" s="8" customFormat="1" ht="60" x14ac:dyDescent="0.2">
      <c r="A125" s="83" t="s">
        <v>165</v>
      </c>
      <c r="B125" s="32" t="s">
        <v>603</v>
      </c>
      <c r="C125" s="28" t="s">
        <v>518</v>
      </c>
      <c r="D125" s="29">
        <v>6.34</v>
      </c>
      <c r="E125" s="29">
        <f t="shared" si="20"/>
        <v>8.0500000000000007</v>
      </c>
      <c r="F125" s="30" t="s">
        <v>89</v>
      </c>
      <c r="G125" s="31">
        <v>120</v>
      </c>
      <c r="H125" s="31">
        <f t="shared" si="16"/>
        <v>120</v>
      </c>
      <c r="I125" s="84">
        <f t="shared" si="21"/>
        <v>966</v>
      </c>
      <c r="K125" s="97"/>
    </row>
    <row r="126" spans="1:11" s="120" customFormat="1" ht="15.75" x14ac:dyDescent="0.25">
      <c r="A126" s="170">
        <v>12</v>
      </c>
      <c r="B126" s="171"/>
      <c r="C126" s="20" t="s">
        <v>114</v>
      </c>
      <c r="D126" s="27"/>
      <c r="E126" s="27"/>
      <c r="F126" s="27"/>
      <c r="G126" s="27"/>
      <c r="H126" s="69"/>
      <c r="I126" s="82">
        <f>SUM(I127:I148)</f>
        <v>233156.65000000002</v>
      </c>
      <c r="K126" s="121"/>
    </row>
    <row r="127" spans="1:11" s="8" customFormat="1" ht="45" x14ac:dyDescent="0.2">
      <c r="A127" s="83" t="s">
        <v>135</v>
      </c>
      <c r="B127" s="32" t="s">
        <v>428</v>
      </c>
      <c r="C127" s="28" t="s">
        <v>126</v>
      </c>
      <c r="D127" s="29">
        <v>39.86</v>
      </c>
      <c r="E127" s="29">
        <f t="shared" ref="E127:E172" si="22">ROUND(D127+$F$3*D127,2)</f>
        <v>50.64</v>
      </c>
      <c r="F127" s="30" t="s">
        <v>89</v>
      </c>
      <c r="G127" s="31">
        <f>346.5+430.4</f>
        <v>776.9</v>
      </c>
      <c r="H127" s="31">
        <f t="shared" si="16"/>
        <v>776.9</v>
      </c>
      <c r="I127" s="84">
        <f>ROUND(H127*E127,2)</f>
        <v>39342.22</v>
      </c>
      <c r="K127" s="97"/>
    </row>
    <row r="128" spans="1:11" s="8" customFormat="1" ht="45" x14ac:dyDescent="0.2">
      <c r="A128" s="83" t="s">
        <v>616</v>
      </c>
      <c r="B128" s="32" t="s">
        <v>562</v>
      </c>
      <c r="C128" s="28" t="s">
        <v>544</v>
      </c>
      <c r="D128" s="29">
        <v>47.38</v>
      </c>
      <c r="E128" s="29">
        <f t="shared" si="22"/>
        <v>60.19</v>
      </c>
      <c r="F128" s="30" t="s">
        <v>89</v>
      </c>
      <c r="G128" s="31">
        <f>184.1</f>
        <v>184.1</v>
      </c>
      <c r="H128" s="31">
        <f t="shared" si="16"/>
        <v>184.1</v>
      </c>
      <c r="I128" s="84">
        <f t="shared" ref="I128:I148" si="23">ROUND(H128*E128,2)</f>
        <v>11080.98</v>
      </c>
      <c r="K128" s="97"/>
    </row>
    <row r="129" spans="1:11" s="8" customFormat="1" ht="45" x14ac:dyDescent="0.2">
      <c r="A129" s="83" t="s">
        <v>617</v>
      </c>
      <c r="B129" s="32" t="s">
        <v>561</v>
      </c>
      <c r="C129" s="28" t="s">
        <v>560</v>
      </c>
      <c r="D129" s="29">
        <v>43.43</v>
      </c>
      <c r="E129" s="29">
        <f t="shared" si="22"/>
        <v>55.17</v>
      </c>
      <c r="F129" s="30" t="s">
        <v>89</v>
      </c>
      <c r="G129" s="31">
        <f>19.4</f>
        <v>19.399999999999999</v>
      </c>
      <c r="H129" s="31">
        <f t="shared" si="16"/>
        <v>19.399999999999999</v>
      </c>
      <c r="I129" s="84">
        <f t="shared" si="23"/>
        <v>1070.3</v>
      </c>
      <c r="K129" s="97"/>
    </row>
    <row r="130" spans="1:11" s="8" customFormat="1" ht="45" x14ac:dyDescent="0.2">
      <c r="A130" s="83" t="s">
        <v>136</v>
      </c>
      <c r="B130" s="32" t="s">
        <v>549</v>
      </c>
      <c r="C130" s="28" t="s">
        <v>546</v>
      </c>
      <c r="D130" s="29">
        <v>26.66</v>
      </c>
      <c r="E130" s="29">
        <f t="shared" si="22"/>
        <v>33.869999999999997</v>
      </c>
      <c r="F130" s="30" t="s">
        <v>89</v>
      </c>
      <c r="G130" s="31">
        <f>67.4+6.3</f>
        <v>73.7</v>
      </c>
      <c r="H130" s="31">
        <f t="shared" si="16"/>
        <v>73.7</v>
      </c>
      <c r="I130" s="84">
        <f t="shared" si="23"/>
        <v>2496.2199999999998</v>
      </c>
      <c r="K130" s="97"/>
    </row>
    <row r="131" spans="1:11" s="8" customFormat="1" ht="45" x14ac:dyDescent="0.2">
      <c r="A131" s="83" t="s">
        <v>137</v>
      </c>
      <c r="B131" s="32" t="s">
        <v>548</v>
      </c>
      <c r="C131" s="28" t="s">
        <v>547</v>
      </c>
      <c r="D131" s="29">
        <v>33.71</v>
      </c>
      <c r="E131" s="29">
        <f t="shared" si="22"/>
        <v>42.83</v>
      </c>
      <c r="F131" s="30" t="s">
        <v>89</v>
      </c>
      <c r="G131" s="31">
        <f>6.8+29.8</f>
        <v>36.6</v>
      </c>
      <c r="H131" s="31">
        <f t="shared" si="16"/>
        <v>36.6</v>
      </c>
      <c r="I131" s="84">
        <f t="shared" si="23"/>
        <v>1567.58</v>
      </c>
      <c r="K131" s="97"/>
    </row>
    <row r="132" spans="1:11" s="8" customFormat="1" ht="45" x14ac:dyDescent="0.2">
      <c r="A132" s="83" t="s">
        <v>618</v>
      </c>
      <c r="B132" s="32" t="s">
        <v>559</v>
      </c>
      <c r="C132" s="28" t="s">
        <v>558</v>
      </c>
      <c r="D132" s="29">
        <v>84.16</v>
      </c>
      <c r="E132" s="29">
        <f t="shared" si="22"/>
        <v>106.92</v>
      </c>
      <c r="F132" s="30" t="s">
        <v>89</v>
      </c>
      <c r="G132" s="31">
        <f>10.6</f>
        <v>10.6</v>
      </c>
      <c r="H132" s="31">
        <f t="shared" si="16"/>
        <v>10.6</v>
      </c>
      <c r="I132" s="84">
        <f t="shared" si="23"/>
        <v>1133.3499999999999</v>
      </c>
      <c r="K132" s="97"/>
    </row>
    <row r="133" spans="1:11" s="8" customFormat="1" ht="30" x14ac:dyDescent="0.2">
      <c r="A133" s="83" t="s">
        <v>138</v>
      </c>
      <c r="B133" s="32" t="s">
        <v>556</v>
      </c>
      <c r="C133" s="28" t="s">
        <v>557</v>
      </c>
      <c r="D133" s="29">
        <v>58.98</v>
      </c>
      <c r="E133" s="29">
        <f t="shared" si="22"/>
        <v>74.930000000000007</v>
      </c>
      <c r="F133" s="30" t="s">
        <v>89</v>
      </c>
      <c r="G133" s="31">
        <v>27.5</v>
      </c>
      <c r="H133" s="31">
        <f t="shared" si="16"/>
        <v>27.5</v>
      </c>
      <c r="I133" s="84">
        <f t="shared" si="23"/>
        <v>2060.58</v>
      </c>
      <c r="K133" s="97"/>
    </row>
    <row r="134" spans="1:11" s="8" customFormat="1" ht="45" x14ac:dyDescent="0.2">
      <c r="A134" s="83" t="s">
        <v>139</v>
      </c>
      <c r="B134" s="32" t="s">
        <v>555</v>
      </c>
      <c r="C134" s="28" t="s">
        <v>554</v>
      </c>
      <c r="D134" s="29">
        <v>38.78</v>
      </c>
      <c r="E134" s="29">
        <f t="shared" si="22"/>
        <v>49.27</v>
      </c>
      <c r="F134" s="30" t="s">
        <v>89</v>
      </c>
      <c r="G134" s="31">
        <f>3.1+39.2+105.7+101.5</f>
        <v>249.5</v>
      </c>
      <c r="H134" s="31">
        <f t="shared" si="16"/>
        <v>249.5</v>
      </c>
      <c r="I134" s="84">
        <f t="shared" si="23"/>
        <v>12292.87</v>
      </c>
      <c r="K134" s="97"/>
    </row>
    <row r="135" spans="1:11" s="8" customFormat="1" ht="45" x14ac:dyDescent="0.2">
      <c r="A135" s="83" t="s">
        <v>619</v>
      </c>
      <c r="B135" s="32" t="s">
        <v>430</v>
      </c>
      <c r="C135" s="28" t="s">
        <v>545</v>
      </c>
      <c r="D135" s="29">
        <v>25.83</v>
      </c>
      <c r="E135" s="29">
        <f t="shared" si="22"/>
        <v>32.81</v>
      </c>
      <c r="F135" s="30" t="s">
        <v>89</v>
      </c>
      <c r="G135" s="31">
        <f>113+78.8+66.6+2</f>
        <v>260.39999999999998</v>
      </c>
      <c r="H135" s="31">
        <f t="shared" si="16"/>
        <v>260.39999999999998</v>
      </c>
      <c r="I135" s="84">
        <f t="shared" si="23"/>
        <v>8543.7199999999993</v>
      </c>
      <c r="K135" s="97"/>
    </row>
    <row r="136" spans="1:11" s="8" customFormat="1" ht="75" x14ac:dyDescent="0.2">
      <c r="A136" s="83" t="s">
        <v>210</v>
      </c>
      <c r="B136" s="32" t="s">
        <v>551</v>
      </c>
      <c r="C136" s="28" t="s">
        <v>550</v>
      </c>
      <c r="D136" s="29">
        <v>460.1</v>
      </c>
      <c r="E136" s="29">
        <f t="shared" si="22"/>
        <v>584.51</v>
      </c>
      <c r="F136" s="30" t="s">
        <v>22</v>
      </c>
      <c r="G136" s="31">
        <v>10</v>
      </c>
      <c r="H136" s="31">
        <f t="shared" si="16"/>
        <v>10</v>
      </c>
      <c r="I136" s="84">
        <f t="shared" si="23"/>
        <v>5845.1</v>
      </c>
      <c r="K136" s="97"/>
    </row>
    <row r="137" spans="1:11" s="8" customFormat="1" ht="75" x14ac:dyDescent="0.2">
      <c r="A137" s="83" t="s">
        <v>211</v>
      </c>
      <c r="B137" s="32" t="s">
        <v>553</v>
      </c>
      <c r="C137" s="28" t="s">
        <v>552</v>
      </c>
      <c r="D137" s="29">
        <v>1055.43</v>
      </c>
      <c r="E137" s="29">
        <f t="shared" si="22"/>
        <v>1340.82</v>
      </c>
      <c r="F137" s="30" t="s">
        <v>22</v>
      </c>
      <c r="G137" s="31">
        <v>4</v>
      </c>
      <c r="H137" s="31">
        <f t="shared" si="16"/>
        <v>4</v>
      </c>
      <c r="I137" s="84">
        <f t="shared" si="23"/>
        <v>5363.28</v>
      </c>
      <c r="K137" s="97"/>
    </row>
    <row r="138" spans="1:11" s="8" customFormat="1" ht="45" x14ac:dyDescent="0.2">
      <c r="A138" s="83" t="s">
        <v>212</v>
      </c>
      <c r="B138" s="32" t="s">
        <v>429</v>
      </c>
      <c r="C138" s="28" t="s">
        <v>163</v>
      </c>
      <c r="D138" s="29">
        <v>676.19</v>
      </c>
      <c r="E138" s="29">
        <f t="shared" si="22"/>
        <v>859.03</v>
      </c>
      <c r="F138" s="30" t="s">
        <v>22</v>
      </c>
      <c r="G138" s="31">
        <f>ROUND(1,2)</f>
        <v>1</v>
      </c>
      <c r="H138" s="31">
        <f t="shared" si="16"/>
        <v>1</v>
      </c>
      <c r="I138" s="84">
        <f t="shared" si="23"/>
        <v>859.03</v>
      </c>
      <c r="K138" s="97"/>
    </row>
    <row r="139" spans="1:11" s="8" customFormat="1" ht="30" x14ac:dyDescent="0.2">
      <c r="A139" s="83" t="s">
        <v>213</v>
      </c>
      <c r="B139" s="32" t="s">
        <v>164</v>
      </c>
      <c r="C139" s="28" t="s">
        <v>247</v>
      </c>
      <c r="D139" s="29">
        <v>212.02</v>
      </c>
      <c r="E139" s="29">
        <f t="shared" si="22"/>
        <v>269.35000000000002</v>
      </c>
      <c r="F139" s="30" t="s">
        <v>22</v>
      </c>
      <c r="G139" s="31">
        <f>ROUND(1,2)</f>
        <v>1</v>
      </c>
      <c r="H139" s="31">
        <f t="shared" si="16"/>
        <v>1</v>
      </c>
      <c r="I139" s="84">
        <f t="shared" si="23"/>
        <v>269.35000000000002</v>
      </c>
      <c r="K139" s="97"/>
    </row>
    <row r="140" spans="1:11" s="8" customFormat="1" ht="60" x14ac:dyDescent="0.2">
      <c r="A140" s="83" t="s">
        <v>214</v>
      </c>
      <c r="B140" s="32" t="s">
        <v>431</v>
      </c>
      <c r="C140" s="28" t="s">
        <v>275</v>
      </c>
      <c r="D140" s="29">
        <v>3736.9</v>
      </c>
      <c r="E140" s="29">
        <f t="shared" si="22"/>
        <v>4747.3599999999997</v>
      </c>
      <c r="F140" s="30" t="s">
        <v>22</v>
      </c>
      <c r="G140" s="31">
        <v>5</v>
      </c>
      <c r="H140" s="31">
        <f t="shared" si="16"/>
        <v>5</v>
      </c>
      <c r="I140" s="84">
        <f t="shared" si="23"/>
        <v>23736.799999999999</v>
      </c>
      <c r="K140" s="97"/>
    </row>
    <row r="141" spans="1:11" s="8" customFormat="1" ht="30" x14ac:dyDescent="0.2">
      <c r="A141" s="83" t="s">
        <v>215</v>
      </c>
      <c r="B141" s="32" t="s">
        <v>564</v>
      </c>
      <c r="C141" s="28" t="s">
        <v>563</v>
      </c>
      <c r="D141" s="29">
        <v>95.57</v>
      </c>
      <c r="E141" s="29">
        <f t="shared" si="22"/>
        <v>121.41</v>
      </c>
      <c r="F141" s="30" t="s">
        <v>22</v>
      </c>
      <c r="G141" s="31">
        <f>7+8</f>
        <v>15</v>
      </c>
      <c r="H141" s="31">
        <f t="shared" si="16"/>
        <v>15</v>
      </c>
      <c r="I141" s="84">
        <f t="shared" si="23"/>
        <v>1821.15</v>
      </c>
      <c r="K141" s="97"/>
    </row>
    <row r="142" spans="1:11" s="8" customFormat="1" ht="30" x14ac:dyDescent="0.2">
      <c r="A142" s="83" t="s">
        <v>216</v>
      </c>
      <c r="B142" s="32" t="s">
        <v>566</v>
      </c>
      <c r="C142" s="28" t="s">
        <v>565</v>
      </c>
      <c r="D142" s="29">
        <v>131.63999999999999</v>
      </c>
      <c r="E142" s="29">
        <f t="shared" si="22"/>
        <v>167.24</v>
      </c>
      <c r="F142" s="30" t="s">
        <v>22</v>
      </c>
      <c r="G142" s="31">
        <v>3</v>
      </c>
      <c r="H142" s="31">
        <f t="shared" si="16"/>
        <v>3</v>
      </c>
      <c r="I142" s="84">
        <f t="shared" si="23"/>
        <v>501.72</v>
      </c>
      <c r="K142" s="97"/>
    </row>
    <row r="143" spans="1:11" s="8" customFormat="1" ht="60" x14ac:dyDescent="0.2">
      <c r="A143" s="83" t="s">
        <v>359</v>
      </c>
      <c r="B143" s="32" t="s">
        <v>568</v>
      </c>
      <c r="C143" s="28" t="s">
        <v>567</v>
      </c>
      <c r="D143" s="29">
        <v>569.1</v>
      </c>
      <c r="E143" s="29">
        <f t="shared" si="22"/>
        <v>722.98</v>
      </c>
      <c r="F143" s="30" t="s">
        <v>22</v>
      </c>
      <c r="G143" s="31">
        <v>3</v>
      </c>
      <c r="H143" s="31">
        <f t="shared" si="16"/>
        <v>3</v>
      </c>
      <c r="I143" s="84">
        <f t="shared" si="23"/>
        <v>2168.94</v>
      </c>
      <c r="K143" s="97"/>
    </row>
    <row r="144" spans="1:11" s="8" customFormat="1" ht="75" x14ac:dyDescent="0.2">
      <c r="A144" s="83" t="s">
        <v>360</v>
      </c>
      <c r="B144" s="32" t="s">
        <v>570</v>
      </c>
      <c r="C144" s="28" t="s">
        <v>569</v>
      </c>
      <c r="D144" s="29">
        <v>752.93</v>
      </c>
      <c r="E144" s="29">
        <f t="shared" si="22"/>
        <v>956.52</v>
      </c>
      <c r="F144" s="30" t="s">
        <v>22</v>
      </c>
      <c r="G144" s="31">
        <v>27</v>
      </c>
      <c r="H144" s="31">
        <f t="shared" si="16"/>
        <v>27</v>
      </c>
      <c r="I144" s="84">
        <f t="shared" si="23"/>
        <v>25826.04</v>
      </c>
      <c r="K144" s="97"/>
    </row>
    <row r="145" spans="1:11" s="8" customFormat="1" ht="75" x14ac:dyDescent="0.2">
      <c r="A145" s="83" t="s">
        <v>620</v>
      </c>
      <c r="B145" s="32" t="s">
        <v>572</v>
      </c>
      <c r="C145" s="28" t="s">
        <v>571</v>
      </c>
      <c r="D145" s="29">
        <v>1519.38</v>
      </c>
      <c r="E145" s="29">
        <f t="shared" si="22"/>
        <v>1930.22</v>
      </c>
      <c r="F145" s="30" t="s">
        <v>22</v>
      </c>
      <c r="G145" s="31">
        <v>8</v>
      </c>
      <c r="H145" s="31">
        <f t="shared" si="16"/>
        <v>8</v>
      </c>
      <c r="I145" s="84">
        <f t="shared" si="23"/>
        <v>15441.76</v>
      </c>
      <c r="K145" s="97"/>
    </row>
    <row r="146" spans="1:11" s="8" customFormat="1" ht="30" x14ac:dyDescent="0.2">
      <c r="A146" s="83" t="s">
        <v>621</v>
      </c>
      <c r="B146" s="134" t="s">
        <v>574</v>
      </c>
      <c r="C146" s="135" t="s">
        <v>573</v>
      </c>
      <c r="D146" s="132">
        <v>42.01</v>
      </c>
      <c r="E146" s="132">
        <f t="shared" si="22"/>
        <v>53.37</v>
      </c>
      <c r="F146" s="136" t="s">
        <v>22</v>
      </c>
      <c r="G146" s="137">
        <v>2</v>
      </c>
      <c r="H146" s="31">
        <f t="shared" si="16"/>
        <v>2</v>
      </c>
      <c r="I146" s="84">
        <f t="shared" si="23"/>
        <v>106.74</v>
      </c>
      <c r="K146" s="97"/>
    </row>
    <row r="147" spans="1:11" s="8" customFormat="1" ht="75" x14ac:dyDescent="0.2">
      <c r="A147" s="83" t="s">
        <v>622</v>
      </c>
      <c r="B147" s="134" t="s">
        <v>578</v>
      </c>
      <c r="C147" s="28" t="s">
        <v>575</v>
      </c>
      <c r="D147" s="29">
        <v>36614.33</v>
      </c>
      <c r="E147" s="132">
        <f t="shared" si="22"/>
        <v>46514.84</v>
      </c>
      <c r="F147" s="136" t="s">
        <v>22</v>
      </c>
      <c r="G147" s="31">
        <v>1</v>
      </c>
      <c r="H147" s="31">
        <f t="shared" si="16"/>
        <v>1</v>
      </c>
      <c r="I147" s="84">
        <f t="shared" si="23"/>
        <v>46514.84</v>
      </c>
      <c r="K147" s="97"/>
    </row>
    <row r="148" spans="1:11" s="8" customFormat="1" ht="30" x14ac:dyDescent="0.2">
      <c r="A148" s="83" t="s">
        <v>623</v>
      </c>
      <c r="B148" s="32" t="s">
        <v>577</v>
      </c>
      <c r="C148" s="28" t="s">
        <v>576</v>
      </c>
      <c r="D148" s="29">
        <v>1235.54</v>
      </c>
      <c r="E148" s="132">
        <f t="shared" si="22"/>
        <v>1569.63</v>
      </c>
      <c r="F148" s="136" t="s">
        <v>22</v>
      </c>
      <c r="G148" s="31">
        <v>16</v>
      </c>
      <c r="H148" s="31">
        <f t="shared" si="16"/>
        <v>16</v>
      </c>
      <c r="I148" s="84">
        <f t="shared" si="23"/>
        <v>25114.080000000002</v>
      </c>
      <c r="K148" s="97"/>
    </row>
    <row r="149" spans="1:11" s="108" customFormat="1" ht="15.75" x14ac:dyDescent="0.25">
      <c r="A149" s="125">
        <v>13</v>
      </c>
      <c r="B149" s="126"/>
      <c r="C149" s="141" t="s">
        <v>315</v>
      </c>
      <c r="D149" s="128"/>
      <c r="E149" s="128"/>
      <c r="F149" s="129"/>
      <c r="G149" s="130"/>
      <c r="H149" s="69"/>
      <c r="I149" s="131">
        <f>SUM(I150:I154)</f>
        <v>53056.420000000006</v>
      </c>
      <c r="K149" s="109"/>
    </row>
    <row r="150" spans="1:11" s="8" customFormat="1" ht="75" x14ac:dyDescent="0.2">
      <c r="A150" s="145" t="s">
        <v>120</v>
      </c>
      <c r="B150" s="146" t="s">
        <v>433</v>
      </c>
      <c r="C150" s="147" t="s">
        <v>310</v>
      </c>
      <c r="D150" s="148">
        <v>101.18</v>
      </c>
      <c r="E150" s="148">
        <f t="shared" si="22"/>
        <v>128.54</v>
      </c>
      <c r="F150" s="149" t="s">
        <v>89</v>
      </c>
      <c r="G150" s="150">
        <f>47</f>
        <v>47</v>
      </c>
      <c r="H150" s="31">
        <f t="shared" si="16"/>
        <v>47</v>
      </c>
      <c r="I150" s="151">
        <f>ROUND(H150*E150,2)</f>
        <v>6041.38</v>
      </c>
      <c r="K150" s="97"/>
    </row>
    <row r="151" spans="1:11" s="4" customFormat="1" ht="45.75" x14ac:dyDescent="0.25">
      <c r="A151" s="83" t="s">
        <v>217</v>
      </c>
      <c r="B151" s="32" t="s">
        <v>434</v>
      </c>
      <c r="C151" s="28" t="s">
        <v>314</v>
      </c>
      <c r="D151" s="29">
        <v>50.59</v>
      </c>
      <c r="E151" s="29">
        <f t="shared" si="22"/>
        <v>64.27</v>
      </c>
      <c r="F151" s="30" t="s">
        <v>89</v>
      </c>
      <c r="G151" s="31">
        <f>G150</f>
        <v>47</v>
      </c>
      <c r="H151" s="31">
        <f t="shared" si="16"/>
        <v>47</v>
      </c>
      <c r="I151" s="151">
        <f t="shared" ref="I151:I154" si="24">ROUND(H151*E151,2)</f>
        <v>3020.69</v>
      </c>
      <c r="J151" s="8"/>
      <c r="K151" s="96"/>
    </row>
    <row r="152" spans="1:11" s="8" customFormat="1" ht="45" x14ac:dyDescent="0.2">
      <c r="A152" s="83" t="s">
        <v>218</v>
      </c>
      <c r="B152" s="32" t="s">
        <v>435</v>
      </c>
      <c r="C152" s="28" t="s">
        <v>311</v>
      </c>
      <c r="D152" s="29">
        <v>159.19999999999999</v>
      </c>
      <c r="E152" s="29">
        <f t="shared" si="22"/>
        <v>202.25</v>
      </c>
      <c r="F152" s="30" t="s">
        <v>89</v>
      </c>
      <c r="G152" s="31">
        <f>47+24</f>
        <v>71</v>
      </c>
      <c r="H152" s="31">
        <f t="shared" si="16"/>
        <v>71</v>
      </c>
      <c r="I152" s="151">
        <f t="shared" si="24"/>
        <v>14359.75</v>
      </c>
      <c r="K152" s="97"/>
    </row>
    <row r="153" spans="1:11" s="8" customFormat="1" ht="75" x14ac:dyDescent="0.2">
      <c r="A153" s="83" t="s">
        <v>219</v>
      </c>
      <c r="B153" s="32" t="s">
        <v>436</v>
      </c>
      <c r="C153" s="28" t="s">
        <v>312</v>
      </c>
      <c r="D153" s="29">
        <v>705.25</v>
      </c>
      <c r="E153" s="29">
        <f t="shared" si="22"/>
        <v>895.95</v>
      </c>
      <c r="F153" s="30" t="s">
        <v>22</v>
      </c>
      <c r="G153" s="31">
        <v>16</v>
      </c>
      <c r="H153" s="31">
        <f t="shared" si="16"/>
        <v>16</v>
      </c>
      <c r="I153" s="151">
        <f>ROUND(H153*E153,2)</f>
        <v>14335.2</v>
      </c>
      <c r="K153" s="97"/>
    </row>
    <row r="154" spans="1:11" s="8" customFormat="1" ht="75" x14ac:dyDescent="0.2">
      <c r="A154" s="83" t="s">
        <v>220</v>
      </c>
      <c r="B154" s="32" t="s">
        <v>437</v>
      </c>
      <c r="C154" s="28" t="s">
        <v>313</v>
      </c>
      <c r="D154" s="29">
        <v>2007.16</v>
      </c>
      <c r="E154" s="29">
        <f t="shared" si="22"/>
        <v>2549.9</v>
      </c>
      <c r="F154" s="30" t="s">
        <v>22</v>
      </c>
      <c r="G154" s="31">
        <v>6</v>
      </c>
      <c r="H154" s="31">
        <f t="shared" si="16"/>
        <v>6</v>
      </c>
      <c r="I154" s="151">
        <f t="shared" si="24"/>
        <v>15299.4</v>
      </c>
      <c r="K154" s="97"/>
    </row>
    <row r="155" spans="1:11" s="108" customFormat="1" ht="15.75" x14ac:dyDescent="0.25">
      <c r="A155" s="170">
        <v>14</v>
      </c>
      <c r="B155" s="171"/>
      <c r="C155" s="20" t="s">
        <v>115</v>
      </c>
      <c r="D155" s="27"/>
      <c r="E155" s="27"/>
      <c r="F155" s="27"/>
      <c r="G155" s="27"/>
      <c r="H155" s="69"/>
      <c r="I155" s="82">
        <f>SUM(I156:I163)</f>
        <v>326878.94</v>
      </c>
      <c r="J155" s="120"/>
      <c r="K155" s="109"/>
    </row>
    <row r="156" spans="1:11" s="8" customFormat="1" ht="45" x14ac:dyDescent="0.2">
      <c r="A156" s="83" t="s">
        <v>122</v>
      </c>
      <c r="B156" s="32" t="s">
        <v>438</v>
      </c>
      <c r="C156" s="28" t="s">
        <v>133</v>
      </c>
      <c r="D156" s="29">
        <v>7.87</v>
      </c>
      <c r="E156" s="29">
        <f t="shared" si="22"/>
        <v>10</v>
      </c>
      <c r="F156" s="30" t="s">
        <v>53</v>
      </c>
      <c r="G156" s="31">
        <f>G80</f>
        <v>5048.5681999999988</v>
      </c>
      <c r="H156" s="31">
        <f t="shared" si="16"/>
        <v>5048.57</v>
      </c>
      <c r="I156" s="84">
        <f>ROUND(H156*E156,2)</f>
        <v>50485.7</v>
      </c>
      <c r="K156" s="97"/>
    </row>
    <row r="157" spans="1:11" s="8" customFormat="1" ht="60" x14ac:dyDescent="0.2">
      <c r="A157" s="83" t="s">
        <v>332</v>
      </c>
      <c r="B157" s="32" t="s">
        <v>440</v>
      </c>
      <c r="C157" s="28" t="s">
        <v>606</v>
      </c>
      <c r="D157" s="29">
        <v>27.31</v>
      </c>
      <c r="E157" s="29">
        <f t="shared" si="22"/>
        <v>34.69</v>
      </c>
      <c r="F157" s="30" t="s">
        <v>53</v>
      </c>
      <c r="G157" s="31">
        <f>G81</f>
        <v>1138.6400000000001</v>
      </c>
      <c r="H157" s="31">
        <f t="shared" si="16"/>
        <v>1138.6400000000001</v>
      </c>
      <c r="I157" s="84">
        <f t="shared" ref="I157:I163" si="25">ROUND(H157*E157,2)</f>
        <v>39499.42</v>
      </c>
      <c r="K157" s="97"/>
    </row>
    <row r="158" spans="1:11" s="8" customFormat="1" ht="45" x14ac:dyDescent="0.2">
      <c r="A158" s="83" t="s">
        <v>333</v>
      </c>
      <c r="B158" s="32" t="s">
        <v>439</v>
      </c>
      <c r="C158" s="28" t="s">
        <v>134</v>
      </c>
      <c r="D158" s="29">
        <v>16.55</v>
      </c>
      <c r="E158" s="29">
        <f t="shared" si="22"/>
        <v>21.03</v>
      </c>
      <c r="F158" s="30" t="s">
        <v>53</v>
      </c>
      <c r="G158" s="31">
        <f>G156</f>
        <v>5048.5681999999988</v>
      </c>
      <c r="H158" s="31">
        <f t="shared" si="16"/>
        <v>5048.57</v>
      </c>
      <c r="I158" s="84">
        <f t="shared" si="25"/>
        <v>106171.43</v>
      </c>
      <c r="K158" s="97"/>
    </row>
    <row r="159" spans="1:11" s="8" customFormat="1" ht="45" x14ac:dyDescent="0.2">
      <c r="A159" s="83" t="s">
        <v>334</v>
      </c>
      <c r="B159" s="32" t="s">
        <v>441</v>
      </c>
      <c r="C159" s="28" t="s">
        <v>248</v>
      </c>
      <c r="D159" s="29">
        <v>13.62</v>
      </c>
      <c r="E159" s="29">
        <f t="shared" si="22"/>
        <v>17.3</v>
      </c>
      <c r="F159" s="30" t="s">
        <v>53</v>
      </c>
      <c r="G159" s="31">
        <f>G156</f>
        <v>5048.5681999999988</v>
      </c>
      <c r="H159" s="31">
        <f t="shared" si="16"/>
        <v>5048.57</v>
      </c>
      <c r="I159" s="84">
        <f t="shared" si="25"/>
        <v>87340.26</v>
      </c>
      <c r="K159" s="97"/>
    </row>
    <row r="160" spans="1:11" s="4" customFormat="1" ht="45.75" x14ac:dyDescent="0.25">
      <c r="A160" s="83" t="s">
        <v>335</v>
      </c>
      <c r="B160" s="32" t="s">
        <v>442</v>
      </c>
      <c r="C160" s="28" t="s">
        <v>250</v>
      </c>
      <c r="D160" s="29">
        <v>21.3</v>
      </c>
      <c r="E160" s="29">
        <f t="shared" si="22"/>
        <v>27.06</v>
      </c>
      <c r="F160" s="30" t="s">
        <v>53</v>
      </c>
      <c r="G160" s="31">
        <f>G157</f>
        <v>1138.6400000000001</v>
      </c>
      <c r="H160" s="31">
        <f t="shared" si="16"/>
        <v>1138.6400000000001</v>
      </c>
      <c r="I160" s="84">
        <f t="shared" si="25"/>
        <v>30811.599999999999</v>
      </c>
      <c r="J160" s="8"/>
      <c r="K160" s="96"/>
    </row>
    <row r="161" spans="1:11" s="8" customFormat="1" ht="60" x14ac:dyDescent="0.2">
      <c r="A161" s="83" t="s">
        <v>336</v>
      </c>
      <c r="B161" s="32" t="s">
        <v>443</v>
      </c>
      <c r="C161" s="28" t="s">
        <v>249</v>
      </c>
      <c r="D161" s="29">
        <v>35.369999999999997</v>
      </c>
      <c r="E161" s="29">
        <f t="shared" si="22"/>
        <v>44.93</v>
      </c>
      <c r="F161" s="30" t="s">
        <v>53</v>
      </c>
      <c r="G161" s="31">
        <f>(G66+G63+G64)*2</f>
        <v>13.2</v>
      </c>
      <c r="H161" s="31">
        <f t="shared" si="16"/>
        <v>13.2</v>
      </c>
      <c r="I161" s="84">
        <f t="shared" si="25"/>
        <v>593.08000000000004</v>
      </c>
      <c r="K161" s="97"/>
    </row>
    <row r="162" spans="1:11" s="4" customFormat="1" ht="75.75" x14ac:dyDescent="0.25">
      <c r="A162" s="83" t="s">
        <v>337</v>
      </c>
      <c r="B162" s="32" t="s">
        <v>444</v>
      </c>
      <c r="C162" s="28" t="s">
        <v>328</v>
      </c>
      <c r="D162" s="29">
        <v>35.92</v>
      </c>
      <c r="E162" s="29">
        <f t="shared" si="22"/>
        <v>45.63</v>
      </c>
      <c r="F162" s="30" t="s">
        <v>53</v>
      </c>
      <c r="G162" s="31">
        <f>((0.8*2.1)*2)*G61</f>
        <v>120.96000000000001</v>
      </c>
      <c r="H162" s="31">
        <f t="shared" si="16"/>
        <v>120.96</v>
      </c>
      <c r="I162" s="84">
        <f t="shared" si="25"/>
        <v>5519.4</v>
      </c>
      <c r="J162" s="8"/>
      <c r="K162" s="96"/>
    </row>
    <row r="163" spans="1:11" s="8" customFormat="1" ht="45" x14ac:dyDescent="0.2">
      <c r="A163" s="83" t="s">
        <v>338</v>
      </c>
      <c r="B163" s="32" t="s">
        <v>445</v>
      </c>
      <c r="C163" s="28" t="s">
        <v>329</v>
      </c>
      <c r="D163" s="29">
        <v>42.03</v>
      </c>
      <c r="E163" s="29">
        <f t="shared" si="22"/>
        <v>53.39</v>
      </c>
      <c r="F163" s="30" t="s">
        <v>53</v>
      </c>
      <c r="G163" s="31">
        <f>G162</f>
        <v>120.96000000000001</v>
      </c>
      <c r="H163" s="31">
        <f t="shared" si="16"/>
        <v>120.96</v>
      </c>
      <c r="I163" s="84">
        <f t="shared" si="25"/>
        <v>6458.05</v>
      </c>
      <c r="K163" s="97"/>
    </row>
    <row r="164" spans="1:11" s="108" customFormat="1" ht="15.75" x14ac:dyDescent="0.25">
      <c r="A164" s="170">
        <v>15</v>
      </c>
      <c r="B164" s="171"/>
      <c r="C164" s="20" t="s">
        <v>116</v>
      </c>
      <c r="D164" s="27"/>
      <c r="E164" s="27"/>
      <c r="F164" s="27"/>
      <c r="G164" s="27"/>
      <c r="H164" s="69"/>
      <c r="I164" s="82">
        <f>SUM(I165)</f>
        <v>34685.769999999997</v>
      </c>
      <c r="J164" s="120"/>
      <c r="K164" s="109"/>
    </row>
    <row r="165" spans="1:11" s="8" customFormat="1" ht="30" x14ac:dyDescent="0.2">
      <c r="A165" s="83" t="s">
        <v>121</v>
      </c>
      <c r="B165" s="32" t="s">
        <v>446</v>
      </c>
      <c r="C165" s="28" t="s">
        <v>187</v>
      </c>
      <c r="D165" s="29">
        <v>56.4</v>
      </c>
      <c r="E165" s="29">
        <f t="shared" si="22"/>
        <v>71.650000000000006</v>
      </c>
      <c r="F165" s="30" t="s">
        <v>89</v>
      </c>
      <c r="G165" s="31">
        <f>(((6+6+6+6)*11)+6+6+4+4+3.1+3.1+3.75+4+4+4.25+4.25+5.25+6+4.25+1.75+2.75+2.85+((6+6.23)*2)+(12.85*2)+6+2.5+(46.07*2))</f>
        <v>484.1</v>
      </c>
      <c r="H165" s="31">
        <f t="shared" ref="H165:H222" si="26">ROUND(G165,2)</f>
        <v>484.1</v>
      </c>
      <c r="I165" s="84">
        <f>ROUND(H165*E165,2)</f>
        <v>34685.769999999997</v>
      </c>
      <c r="K165" s="97"/>
    </row>
    <row r="166" spans="1:11" s="108" customFormat="1" ht="15.75" x14ac:dyDescent="0.25">
      <c r="A166" s="170">
        <v>16</v>
      </c>
      <c r="B166" s="171"/>
      <c r="C166" s="20" t="s">
        <v>117</v>
      </c>
      <c r="D166" s="27"/>
      <c r="E166" s="27"/>
      <c r="F166" s="27"/>
      <c r="G166" s="27"/>
      <c r="H166" s="69"/>
      <c r="I166" s="82">
        <f>SUM(I167:I176)</f>
        <v>47579</v>
      </c>
      <c r="J166" s="120"/>
      <c r="K166" s="109"/>
    </row>
    <row r="167" spans="1:11" s="8" customFormat="1" ht="75" x14ac:dyDescent="0.2">
      <c r="A167" s="83" t="s">
        <v>159</v>
      </c>
      <c r="B167" s="32" t="s">
        <v>447</v>
      </c>
      <c r="C167" s="28" t="s">
        <v>624</v>
      </c>
      <c r="D167" s="29">
        <v>409.64</v>
      </c>
      <c r="E167" s="29">
        <f t="shared" si="22"/>
        <v>520.41</v>
      </c>
      <c r="F167" s="30" t="s">
        <v>22</v>
      </c>
      <c r="G167" s="31">
        <v>6</v>
      </c>
      <c r="H167" s="31">
        <f t="shared" si="26"/>
        <v>6</v>
      </c>
      <c r="I167" s="84">
        <f>ROUND(H167*E167,2)</f>
        <v>3122.46</v>
      </c>
      <c r="K167" s="97"/>
    </row>
    <row r="168" spans="1:11" s="8" customFormat="1" ht="45" x14ac:dyDescent="0.2">
      <c r="A168" s="83" t="s">
        <v>160</v>
      </c>
      <c r="B168" s="32" t="s">
        <v>123</v>
      </c>
      <c r="C168" s="28" t="s">
        <v>625</v>
      </c>
      <c r="D168" s="29">
        <v>76.2</v>
      </c>
      <c r="E168" s="29">
        <f t="shared" si="22"/>
        <v>96.8</v>
      </c>
      <c r="F168" s="30" t="s">
        <v>22</v>
      </c>
      <c r="G168" s="31">
        <v>21</v>
      </c>
      <c r="H168" s="31">
        <f t="shared" si="26"/>
        <v>21</v>
      </c>
      <c r="I168" s="84">
        <f t="shared" ref="I168:I176" si="27">ROUND(H168*E168,2)</f>
        <v>2032.8</v>
      </c>
      <c r="K168" s="97"/>
    </row>
    <row r="169" spans="1:11" s="8" customFormat="1" ht="90" x14ac:dyDescent="0.2">
      <c r="A169" s="83" t="s">
        <v>161</v>
      </c>
      <c r="B169" s="32" t="s">
        <v>448</v>
      </c>
      <c r="C169" s="28" t="s">
        <v>626</v>
      </c>
      <c r="D169" s="29">
        <v>458.94</v>
      </c>
      <c r="E169" s="29">
        <f t="shared" si="22"/>
        <v>583.04</v>
      </c>
      <c r="F169" s="30" t="s">
        <v>22</v>
      </c>
      <c r="G169" s="31">
        <v>3</v>
      </c>
      <c r="H169" s="31">
        <f t="shared" si="26"/>
        <v>3</v>
      </c>
      <c r="I169" s="84">
        <f t="shared" si="27"/>
        <v>1749.12</v>
      </c>
      <c r="K169" s="97"/>
    </row>
    <row r="170" spans="1:11" s="8" customFormat="1" ht="90" x14ac:dyDescent="0.2">
      <c r="A170" s="83" t="s">
        <v>162</v>
      </c>
      <c r="B170" s="32" t="s">
        <v>449</v>
      </c>
      <c r="C170" s="28" t="s">
        <v>294</v>
      </c>
      <c r="D170" s="29">
        <v>1051.57</v>
      </c>
      <c r="E170" s="29">
        <f t="shared" si="22"/>
        <v>1335.91</v>
      </c>
      <c r="F170" s="30" t="s">
        <v>22</v>
      </c>
      <c r="G170" s="31">
        <v>14</v>
      </c>
      <c r="H170" s="31">
        <f t="shared" si="26"/>
        <v>14</v>
      </c>
      <c r="I170" s="84">
        <f t="shared" si="27"/>
        <v>18702.740000000002</v>
      </c>
      <c r="K170" s="97"/>
    </row>
    <row r="171" spans="1:11" s="8" customFormat="1" ht="75" x14ac:dyDescent="0.2">
      <c r="A171" s="83" t="s">
        <v>339</v>
      </c>
      <c r="B171" s="32" t="s">
        <v>627</v>
      </c>
      <c r="C171" s="28" t="s">
        <v>628</v>
      </c>
      <c r="D171" s="29">
        <v>2911.03</v>
      </c>
      <c r="E171" s="29">
        <f>ROUND(D171+$F$3*D171,2)</f>
        <v>3698.17</v>
      </c>
      <c r="F171" s="30" t="s">
        <v>22</v>
      </c>
      <c r="G171" s="31">
        <v>4</v>
      </c>
      <c r="H171" s="31">
        <f t="shared" si="26"/>
        <v>4</v>
      </c>
      <c r="I171" s="84">
        <f t="shared" si="27"/>
        <v>14792.68</v>
      </c>
      <c r="K171" s="97"/>
    </row>
    <row r="172" spans="1:11" s="4" customFormat="1" ht="45.75" x14ac:dyDescent="0.25">
      <c r="A172" s="83" t="s">
        <v>340</v>
      </c>
      <c r="B172" s="32" t="s">
        <v>450</v>
      </c>
      <c r="C172" s="28" t="s">
        <v>251</v>
      </c>
      <c r="D172" s="29">
        <v>106.9</v>
      </c>
      <c r="E172" s="29">
        <f t="shared" si="22"/>
        <v>135.81</v>
      </c>
      <c r="F172" s="30" t="s">
        <v>22</v>
      </c>
      <c r="G172" s="31">
        <v>4</v>
      </c>
      <c r="H172" s="31">
        <f t="shared" si="26"/>
        <v>4</v>
      </c>
      <c r="I172" s="84">
        <f t="shared" si="27"/>
        <v>543.24</v>
      </c>
      <c r="J172" s="8"/>
      <c r="K172" s="96"/>
    </row>
    <row r="173" spans="1:11" s="8" customFormat="1" ht="30" x14ac:dyDescent="0.2">
      <c r="A173" s="83" t="s">
        <v>341</v>
      </c>
      <c r="B173" s="32" t="s">
        <v>184</v>
      </c>
      <c r="C173" s="28" t="s">
        <v>252</v>
      </c>
      <c r="D173" s="29">
        <v>57.24</v>
      </c>
      <c r="E173" s="29">
        <f t="shared" ref="E173:E184" si="28">ROUND(D173+$F$3*D173,2)</f>
        <v>72.72</v>
      </c>
      <c r="F173" s="30" t="s">
        <v>22</v>
      </c>
      <c r="G173" s="31">
        <v>2</v>
      </c>
      <c r="H173" s="31">
        <f t="shared" si="26"/>
        <v>2</v>
      </c>
      <c r="I173" s="84">
        <f t="shared" si="27"/>
        <v>145.44</v>
      </c>
      <c r="K173" s="97"/>
    </row>
    <row r="174" spans="1:11" s="8" customFormat="1" ht="30" x14ac:dyDescent="0.2">
      <c r="A174" s="83"/>
      <c r="B174" s="32" t="s">
        <v>432</v>
      </c>
      <c r="C174" s="28" t="s">
        <v>361</v>
      </c>
      <c r="D174" s="29">
        <v>135.09</v>
      </c>
      <c r="E174" s="29">
        <f t="shared" si="28"/>
        <v>171.62</v>
      </c>
      <c r="F174" s="30" t="s">
        <v>22</v>
      </c>
      <c r="G174" s="31">
        <v>12</v>
      </c>
      <c r="H174" s="31">
        <f t="shared" si="26"/>
        <v>12</v>
      </c>
      <c r="I174" s="84">
        <f t="shared" si="27"/>
        <v>2059.44</v>
      </c>
      <c r="K174" s="97"/>
    </row>
    <row r="175" spans="1:11" s="8" customFormat="1" ht="75" x14ac:dyDescent="0.2">
      <c r="A175" s="83" t="s">
        <v>342</v>
      </c>
      <c r="B175" s="32" t="s">
        <v>451</v>
      </c>
      <c r="C175" s="28" t="s">
        <v>295</v>
      </c>
      <c r="D175" s="29">
        <v>783.33</v>
      </c>
      <c r="E175" s="29">
        <f t="shared" ref="E175" si="29">ROUND(D175+$F$3*D175,2)</f>
        <v>995.14</v>
      </c>
      <c r="F175" s="30" t="s">
        <v>22</v>
      </c>
      <c r="G175" s="31">
        <v>4</v>
      </c>
      <c r="H175" s="31">
        <f t="shared" si="26"/>
        <v>4</v>
      </c>
      <c r="I175" s="84">
        <f t="shared" si="27"/>
        <v>3980.56</v>
      </c>
      <c r="K175" s="97"/>
    </row>
    <row r="176" spans="1:11" s="8" customFormat="1" ht="30" x14ac:dyDescent="0.2">
      <c r="A176" s="83" t="s">
        <v>343</v>
      </c>
      <c r="B176" s="32" t="s">
        <v>452</v>
      </c>
      <c r="C176" s="28" t="s">
        <v>253</v>
      </c>
      <c r="D176" s="29">
        <v>88.66</v>
      </c>
      <c r="E176" s="29">
        <f t="shared" ref="E176" si="30">ROUND(D176+$F$3*D176,2)</f>
        <v>112.63</v>
      </c>
      <c r="F176" s="30" t="s">
        <v>22</v>
      </c>
      <c r="G176" s="31">
        <v>4</v>
      </c>
      <c r="H176" s="31">
        <f t="shared" si="26"/>
        <v>4</v>
      </c>
      <c r="I176" s="84">
        <f t="shared" si="27"/>
        <v>450.52</v>
      </c>
      <c r="K176" s="97"/>
    </row>
    <row r="177" spans="1:11" s="108" customFormat="1" ht="15.75" x14ac:dyDescent="0.25">
      <c r="A177" s="170">
        <v>17</v>
      </c>
      <c r="B177" s="171"/>
      <c r="C177" s="20" t="s">
        <v>196</v>
      </c>
      <c r="D177" s="27"/>
      <c r="E177" s="27"/>
      <c r="F177" s="27"/>
      <c r="G177" s="27"/>
      <c r="H177" s="69"/>
      <c r="I177" s="82">
        <f>SUM(I178:I181)</f>
        <v>52236.35</v>
      </c>
      <c r="J177" s="120"/>
      <c r="K177" s="109"/>
    </row>
    <row r="178" spans="1:11" s="4" customFormat="1" ht="75.75" x14ac:dyDescent="0.25">
      <c r="A178" s="83" t="s">
        <v>140</v>
      </c>
      <c r="B178" s="32" t="s">
        <v>453</v>
      </c>
      <c r="C178" s="28" t="s">
        <v>190</v>
      </c>
      <c r="D178" s="29">
        <v>476.5</v>
      </c>
      <c r="E178" s="29">
        <f t="shared" si="28"/>
        <v>605.35</v>
      </c>
      <c r="F178" s="30" t="s">
        <v>53</v>
      </c>
      <c r="G178" s="31">
        <f>((1.95*0.53)*2)+(4.8*0.8)+(4.7*0.8)+(3.9*0.5)+(2.4*1.3)+((6*0.8)*2)+(((2.2*0.8)+(4*0.3))*2)+(2.26*0.53)+((2.1*0.3)*4)+((1.9*0.3)*4)</f>
        <v>36.254800000000003</v>
      </c>
      <c r="H178" s="31">
        <f t="shared" si="26"/>
        <v>36.25</v>
      </c>
      <c r="I178" s="84">
        <f>ROUND(H178*E178,2)</f>
        <v>21943.94</v>
      </c>
      <c r="J178" s="8"/>
      <c r="K178" s="96"/>
    </row>
    <row r="179" spans="1:11" s="8" customFormat="1" ht="45" x14ac:dyDescent="0.2">
      <c r="A179" s="83" t="s">
        <v>344</v>
      </c>
      <c r="B179" s="32" t="s">
        <v>454</v>
      </c>
      <c r="C179" s="28" t="s">
        <v>191</v>
      </c>
      <c r="D179" s="29">
        <v>59.8</v>
      </c>
      <c r="E179" s="29">
        <f t="shared" ref="E179:E180" si="31">ROUND(D179+$F$3*D179,2)</f>
        <v>75.97</v>
      </c>
      <c r="F179" s="30" t="s">
        <v>89</v>
      </c>
      <c r="G179" s="31">
        <f>4.8+6+3.9+2.26+1.95+1.95+2.2+2.2+6+6</f>
        <v>37.26</v>
      </c>
      <c r="H179" s="31">
        <f t="shared" si="26"/>
        <v>37.26</v>
      </c>
      <c r="I179" s="84">
        <f t="shared" ref="I179:I181" si="32">ROUND(H179*E179,2)</f>
        <v>2830.64</v>
      </c>
      <c r="K179" s="97"/>
    </row>
    <row r="180" spans="1:11" s="8" customFormat="1" ht="60" x14ac:dyDescent="0.2">
      <c r="A180" s="83" t="s">
        <v>345</v>
      </c>
      <c r="B180" s="32" t="s">
        <v>455</v>
      </c>
      <c r="C180" s="28" t="s">
        <v>192</v>
      </c>
      <c r="D180" s="29">
        <v>233.28</v>
      </c>
      <c r="E180" s="29">
        <f t="shared" si="31"/>
        <v>296.36</v>
      </c>
      <c r="F180" s="30" t="s">
        <v>89</v>
      </c>
      <c r="G180" s="31">
        <f>G179+(0.53*4)</f>
        <v>39.379999999999995</v>
      </c>
      <c r="H180" s="31">
        <f t="shared" si="26"/>
        <v>39.380000000000003</v>
      </c>
      <c r="I180" s="84">
        <f t="shared" si="32"/>
        <v>11670.66</v>
      </c>
      <c r="K180" s="97"/>
    </row>
    <row r="181" spans="1:11" s="8" customFormat="1" ht="60" x14ac:dyDescent="0.2">
      <c r="A181" s="83" t="s">
        <v>346</v>
      </c>
      <c r="B181" s="32" t="s">
        <v>456</v>
      </c>
      <c r="C181" s="28" t="s">
        <v>254</v>
      </c>
      <c r="D181" s="29">
        <v>355.65</v>
      </c>
      <c r="E181" s="29">
        <f t="shared" ref="E181" si="33">ROUND(D181+$F$3*D181,2)</f>
        <v>451.82</v>
      </c>
      <c r="F181" s="30" t="s">
        <v>53</v>
      </c>
      <c r="G181" s="31">
        <f>((1.2*0.2)*5)+(((3)+(2.5*23)+(2.4*2)+(2.5*3)+(1.2*5)+(1.2*12)+(1.6*5)+(2*4)+(3.5)+(3.2*1)+(3.5*1)+(3*2)+(2.8*2)+(2*2))*0.25)</f>
        <v>34.950000000000003</v>
      </c>
      <c r="H181" s="31">
        <f t="shared" si="26"/>
        <v>34.950000000000003</v>
      </c>
      <c r="I181" s="84">
        <f t="shared" si="32"/>
        <v>15791.11</v>
      </c>
      <c r="K181" s="97"/>
    </row>
    <row r="182" spans="1:11" s="108" customFormat="1" ht="15.75" x14ac:dyDescent="0.25">
      <c r="A182" s="170">
        <v>18</v>
      </c>
      <c r="B182" s="171"/>
      <c r="C182" s="20" t="s">
        <v>118</v>
      </c>
      <c r="D182" s="27"/>
      <c r="E182" s="27"/>
      <c r="F182" s="27"/>
      <c r="G182" s="27"/>
      <c r="H182" s="69"/>
      <c r="I182" s="82">
        <f>SUM(I183:I185)</f>
        <v>240852.28</v>
      </c>
      <c r="J182" s="120"/>
      <c r="K182" s="109"/>
    </row>
    <row r="183" spans="1:11" s="8" customFormat="1" ht="45" x14ac:dyDescent="0.2">
      <c r="A183" s="83" t="s">
        <v>221</v>
      </c>
      <c r="B183" s="32" t="s">
        <v>457</v>
      </c>
      <c r="C183" s="28" t="s">
        <v>330</v>
      </c>
      <c r="D183" s="29">
        <v>512.59</v>
      </c>
      <c r="E183" s="29">
        <f t="shared" si="28"/>
        <v>651.19000000000005</v>
      </c>
      <c r="F183" s="30" t="s">
        <v>53</v>
      </c>
      <c r="G183" s="31">
        <f>(3*2.5)+(4.8*2.5)</f>
        <v>19.5</v>
      </c>
      <c r="H183" s="31">
        <f t="shared" si="26"/>
        <v>19.5</v>
      </c>
      <c r="I183" s="84">
        <f>ROUND(H183*E183,2)</f>
        <v>12698.21</v>
      </c>
      <c r="K183" s="97"/>
    </row>
    <row r="184" spans="1:11" s="8" customFormat="1" ht="60" x14ac:dyDescent="0.2">
      <c r="A184" s="83" t="s">
        <v>222</v>
      </c>
      <c r="B184" s="32" t="s">
        <v>443</v>
      </c>
      <c r="C184" s="28" t="s">
        <v>255</v>
      </c>
      <c r="D184" s="29">
        <v>35.369999999999997</v>
      </c>
      <c r="E184" s="29">
        <f t="shared" si="28"/>
        <v>44.93</v>
      </c>
      <c r="F184" s="30" t="s">
        <v>53</v>
      </c>
      <c r="G184" s="31">
        <f>G183*2</f>
        <v>39</v>
      </c>
      <c r="H184" s="31">
        <f t="shared" si="26"/>
        <v>39</v>
      </c>
      <c r="I184" s="84">
        <f t="shared" ref="I184:I185" si="34">ROUND(H184*E184,2)</f>
        <v>1752.27</v>
      </c>
      <c r="K184" s="97"/>
    </row>
    <row r="185" spans="1:11" s="8" customFormat="1" ht="75" x14ac:dyDescent="0.2">
      <c r="A185" s="83" t="s">
        <v>347</v>
      </c>
      <c r="B185" s="32" t="s">
        <v>458</v>
      </c>
      <c r="C185" s="28" t="s">
        <v>264</v>
      </c>
      <c r="D185" s="29">
        <v>773.66</v>
      </c>
      <c r="E185" s="29">
        <f t="shared" ref="E185" si="35">ROUND(D185+$F$3*D185,2)</f>
        <v>982.86</v>
      </c>
      <c r="F185" s="30" t="s">
        <v>89</v>
      </c>
      <c r="G185" s="31">
        <f>46.3+51.35+67.8+55.05+8.95+0.9</f>
        <v>230.35</v>
      </c>
      <c r="H185" s="31">
        <f t="shared" si="26"/>
        <v>230.35</v>
      </c>
      <c r="I185" s="84">
        <f t="shared" si="34"/>
        <v>226401.8</v>
      </c>
      <c r="K185" s="97"/>
    </row>
    <row r="186" spans="1:11" s="108" customFormat="1" ht="15.75" x14ac:dyDescent="0.25">
      <c r="A186" s="170">
        <v>19</v>
      </c>
      <c r="B186" s="171"/>
      <c r="C186" s="20" t="s">
        <v>193</v>
      </c>
      <c r="D186" s="27"/>
      <c r="E186" s="27"/>
      <c r="F186" s="27"/>
      <c r="G186" s="27"/>
      <c r="H186" s="69"/>
      <c r="I186" s="82">
        <f>SUM(I187:I188)</f>
        <v>4842.34</v>
      </c>
      <c r="K186" s="109"/>
    </row>
    <row r="187" spans="1:11" s="8" customFormat="1" ht="105" x14ac:dyDescent="0.2">
      <c r="A187" s="83" t="s">
        <v>223</v>
      </c>
      <c r="B187" s="32" t="s">
        <v>459</v>
      </c>
      <c r="C187" s="28" t="s">
        <v>194</v>
      </c>
      <c r="D187" s="29">
        <v>3504.46</v>
      </c>
      <c r="E187" s="29">
        <f t="shared" ref="E187:E188" si="36">ROUND(D187+$F$3*D187,2)</f>
        <v>4452.07</v>
      </c>
      <c r="F187" s="30" t="s">
        <v>22</v>
      </c>
      <c r="G187" s="31">
        <v>1</v>
      </c>
      <c r="H187" s="31">
        <f t="shared" si="26"/>
        <v>1</v>
      </c>
      <c r="I187" s="84">
        <f>ROUND(H187*E187,2)</f>
        <v>4452.07</v>
      </c>
      <c r="K187" s="97"/>
    </row>
    <row r="188" spans="1:11" s="8" customFormat="1" ht="90" x14ac:dyDescent="0.2">
      <c r="A188" s="83" t="s">
        <v>224</v>
      </c>
      <c r="B188" s="32" t="s">
        <v>460</v>
      </c>
      <c r="C188" s="28" t="s">
        <v>195</v>
      </c>
      <c r="D188" s="29">
        <v>307.2</v>
      </c>
      <c r="E188" s="29">
        <f t="shared" si="36"/>
        <v>390.27</v>
      </c>
      <c r="F188" s="30" t="s">
        <v>22</v>
      </c>
      <c r="G188" s="31">
        <v>1</v>
      </c>
      <c r="H188" s="31">
        <f t="shared" si="26"/>
        <v>1</v>
      </c>
      <c r="I188" s="84">
        <f>ROUND(H188*E188,2)</f>
        <v>390.27</v>
      </c>
      <c r="K188" s="97"/>
    </row>
    <row r="189" spans="1:11" s="108" customFormat="1" ht="15.75" x14ac:dyDescent="0.25">
      <c r="A189" s="175">
        <v>20</v>
      </c>
      <c r="B189" s="176"/>
      <c r="C189" s="20" t="s">
        <v>266</v>
      </c>
      <c r="D189" s="139"/>
      <c r="E189" s="139"/>
      <c r="F189" s="139"/>
      <c r="G189" s="139"/>
      <c r="H189" s="69"/>
      <c r="I189" s="140">
        <f>SUM(I190,I194,I199,)</f>
        <v>447568.84999999992</v>
      </c>
      <c r="K189" s="109"/>
    </row>
    <row r="190" spans="1:11" s="108" customFormat="1" ht="15.75" x14ac:dyDescent="0.25">
      <c r="A190" s="177" t="s">
        <v>225</v>
      </c>
      <c r="B190" s="178"/>
      <c r="C190" s="141" t="s">
        <v>276</v>
      </c>
      <c r="D190" s="142"/>
      <c r="E190" s="142"/>
      <c r="F190" s="143"/>
      <c r="G190" s="144"/>
      <c r="H190" s="69"/>
      <c r="I190" s="131">
        <f>SUM(I191:I193)</f>
        <v>2006.27</v>
      </c>
      <c r="K190" s="109"/>
    </row>
    <row r="191" spans="1:11" s="8" customFormat="1" ht="45" x14ac:dyDescent="0.2">
      <c r="A191" s="83" t="s">
        <v>350</v>
      </c>
      <c r="B191" s="32" t="s">
        <v>390</v>
      </c>
      <c r="C191" s="28" t="s">
        <v>297</v>
      </c>
      <c r="D191" s="29">
        <v>80.459999999999994</v>
      </c>
      <c r="E191" s="148">
        <f t="shared" ref="E191:E193" si="37">ROUND(D191+$F$3*D191,2)</f>
        <v>102.22</v>
      </c>
      <c r="F191" s="30" t="s">
        <v>55</v>
      </c>
      <c r="G191" s="31">
        <f>((23.53*4)*0.4*0.15)+((19.29*2)*0.4*0.15)</f>
        <v>7.9620000000000006</v>
      </c>
      <c r="H191" s="31">
        <f t="shared" si="26"/>
        <v>7.96</v>
      </c>
      <c r="I191" s="151">
        <f>ROUND(H191*E191,2)</f>
        <v>813.67</v>
      </c>
      <c r="K191" s="97"/>
    </row>
    <row r="192" spans="1:11" s="8" customFormat="1" ht="45" x14ac:dyDescent="0.2">
      <c r="A192" s="83" t="s">
        <v>277</v>
      </c>
      <c r="B192" s="32" t="s">
        <v>392</v>
      </c>
      <c r="C192" s="28" t="s">
        <v>298</v>
      </c>
      <c r="D192" s="29">
        <v>80.459999999999994</v>
      </c>
      <c r="E192" s="148">
        <f t="shared" si="37"/>
        <v>102.22</v>
      </c>
      <c r="F192" s="30" t="s">
        <v>55</v>
      </c>
      <c r="G192" s="31">
        <f>G191</f>
        <v>7.9620000000000006</v>
      </c>
      <c r="H192" s="31">
        <f t="shared" si="26"/>
        <v>7.96</v>
      </c>
      <c r="I192" s="151">
        <f t="shared" ref="I192:I193" si="38">ROUND(H192*E192,2)</f>
        <v>813.67</v>
      </c>
      <c r="K192" s="97"/>
    </row>
    <row r="193" spans="1:11" s="8" customFormat="1" ht="45" x14ac:dyDescent="0.2">
      <c r="A193" s="83" t="s">
        <v>351</v>
      </c>
      <c r="B193" s="32" t="s">
        <v>461</v>
      </c>
      <c r="C193" s="135" t="s">
        <v>299</v>
      </c>
      <c r="D193" s="132">
        <v>392.47</v>
      </c>
      <c r="E193" s="148">
        <f t="shared" si="37"/>
        <v>498.59</v>
      </c>
      <c r="F193" s="136" t="s">
        <v>55</v>
      </c>
      <c r="G193" s="137">
        <f>(10*(0.2*0.2*1.9))</f>
        <v>0.76000000000000012</v>
      </c>
      <c r="H193" s="31">
        <f t="shared" si="26"/>
        <v>0.76</v>
      </c>
      <c r="I193" s="151">
        <f t="shared" si="38"/>
        <v>378.93</v>
      </c>
      <c r="K193" s="97"/>
    </row>
    <row r="194" spans="1:11" s="108" customFormat="1" ht="15.75" x14ac:dyDescent="0.25">
      <c r="A194" s="177" t="s">
        <v>226</v>
      </c>
      <c r="B194" s="179"/>
      <c r="C194" s="141" t="s">
        <v>278</v>
      </c>
      <c r="D194" s="128"/>
      <c r="E194" s="142"/>
      <c r="F194" s="129"/>
      <c r="G194" s="130"/>
      <c r="H194" s="69"/>
      <c r="I194" s="131">
        <f>SUM(I195:I198)</f>
        <v>59986.03</v>
      </c>
      <c r="K194" s="109"/>
    </row>
    <row r="195" spans="1:11" s="8" customFormat="1" ht="30" x14ac:dyDescent="0.2">
      <c r="A195" s="83" t="s">
        <v>279</v>
      </c>
      <c r="B195" s="32" t="s">
        <v>462</v>
      </c>
      <c r="C195" s="147" t="s">
        <v>303</v>
      </c>
      <c r="D195" s="148">
        <v>13.76</v>
      </c>
      <c r="E195" s="148">
        <f>ROUND(D195+$F$3*D195,2)</f>
        <v>17.48</v>
      </c>
      <c r="F195" s="149" t="s">
        <v>102</v>
      </c>
      <c r="G195" s="150">
        <f>23*28</f>
        <v>644</v>
      </c>
      <c r="H195" s="31">
        <f t="shared" si="26"/>
        <v>644</v>
      </c>
      <c r="I195" s="151">
        <f>ROUND(H195*E195,2)</f>
        <v>11257.12</v>
      </c>
      <c r="K195" s="97"/>
    </row>
    <row r="196" spans="1:11" s="8" customFormat="1" ht="30" x14ac:dyDescent="0.2">
      <c r="A196" s="83" t="s">
        <v>280</v>
      </c>
      <c r="B196" s="32" t="s">
        <v>395</v>
      </c>
      <c r="C196" s="28" t="s">
        <v>300</v>
      </c>
      <c r="D196" s="29">
        <v>80.98</v>
      </c>
      <c r="E196" s="148">
        <f t="shared" ref="E196:E198" si="39">ROUND(D196+$F$3*D196,2)</f>
        <v>102.88</v>
      </c>
      <c r="F196" s="30" t="s">
        <v>53</v>
      </c>
      <c r="G196" s="31">
        <f>(((23.53*4)+(19.29*2))*2)*0.4</f>
        <v>106.16</v>
      </c>
      <c r="H196" s="31">
        <f t="shared" si="26"/>
        <v>106.16</v>
      </c>
      <c r="I196" s="151">
        <f t="shared" ref="I196:I198" si="40">ROUND(H196*E196,2)</f>
        <v>10921.74</v>
      </c>
      <c r="K196" s="97"/>
    </row>
    <row r="197" spans="1:11" s="8" customFormat="1" ht="45" x14ac:dyDescent="0.2">
      <c r="A197" s="83" t="s">
        <v>352</v>
      </c>
      <c r="B197" s="32" t="s">
        <v>463</v>
      </c>
      <c r="C197" s="135" t="s">
        <v>629</v>
      </c>
      <c r="D197" s="132">
        <v>799</v>
      </c>
      <c r="E197" s="148">
        <f t="shared" si="39"/>
        <v>1015.05</v>
      </c>
      <c r="F197" s="136" t="s">
        <v>55</v>
      </c>
      <c r="G197" s="137">
        <f>(((23.53*4)+(19.29*2))*0.4*0.2)</f>
        <v>10.616</v>
      </c>
      <c r="H197" s="31">
        <f t="shared" si="26"/>
        <v>10.62</v>
      </c>
      <c r="I197" s="151">
        <f t="shared" si="40"/>
        <v>10779.83</v>
      </c>
      <c r="K197" s="97"/>
    </row>
    <row r="198" spans="1:11" s="8" customFormat="1" ht="30" x14ac:dyDescent="0.2">
      <c r="A198" s="83" t="s">
        <v>281</v>
      </c>
      <c r="B198" s="32" t="s">
        <v>464</v>
      </c>
      <c r="C198" s="28" t="s">
        <v>325</v>
      </c>
      <c r="D198" s="29">
        <v>630.36</v>
      </c>
      <c r="E198" s="148">
        <f t="shared" si="39"/>
        <v>800.81</v>
      </c>
      <c r="F198" s="136" t="s">
        <v>55</v>
      </c>
      <c r="G198" s="31">
        <f>(562.51)*0.06</f>
        <v>33.750599999999999</v>
      </c>
      <c r="H198" s="31">
        <f t="shared" si="26"/>
        <v>33.75</v>
      </c>
      <c r="I198" s="151">
        <f t="shared" si="40"/>
        <v>27027.34</v>
      </c>
      <c r="K198" s="97"/>
    </row>
    <row r="199" spans="1:11" s="108" customFormat="1" ht="15.75" x14ac:dyDescent="0.25">
      <c r="A199" s="177" t="s">
        <v>227</v>
      </c>
      <c r="B199" s="179"/>
      <c r="C199" s="141" t="s">
        <v>267</v>
      </c>
      <c r="D199" s="128"/>
      <c r="E199" s="142"/>
      <c r="F199" s="129"/>
      <c r="G199" s="130"/>
      <c r="H199" s="69"/>
      <c r="I199" s="131">
        <f>SUM(I200:I214)</f>
        <v>385576.54999999993</v>
      </c>
      <c r="K199" s="109"/>
    </row>
    <row r="200" spans="1:11" s="8" customFormat="1" ht="45" x14ac:dyDescent="0.2">
      <c r="A200" s="83" t="s">
        <v>282</v>
      </c>
      <c r="B200" s="32" t="s">
        <v>465</v>
      </c>
      <c r="C200" s="147" t="s">
        <v>301</v>
      </c>
      <c r="D200" s="148">
        <v>28.12</v>
      </c>
      <c r="E200" s="148">
        <f>ROUND(D200+$F$3*D200,2)</f>
        <v>35.72</v>
      </c>
      <c r="F200" s="149" t="s">
        <v>53</v>
      </c>
      <c r="G200" s="150">
        <v>332.91</v>
      </c>
      <c r="H200" s="31">
        <f t="shared" si="26"/>
        <v>332.91</v>
      </c>
      <c r="I200" s="151">
        <f>ROUND(H200*E200,2)</f>
        <v>11891.55</v>
      </c>
      <c r="K200" s="97"/>
    </row>
    <row r="201" spans="1:11" s="8" customFormat="1" ht="45" x14ac:dyDescent="0.2">
      <c r="A201" s="83" t="s">
        <v>283</v>
      </c>
      <c r="B201" s="32" t="s">
        <v>466</v>
      </c>
      <c r="C201" s="28" t="s">
        <v>302</v>
      </c>
      <c r="D201" s="29">
        <v>8.74</v>
      </c>
      <c r="E201" s="148">
        <f t="shared" ref="E201:E214" si="41">ROUND(D201+$F$3*D201,2)</f>
        <v>11.1</v>
      </c>
      <c r="F201" s="30" t="s">
        <v>89</v>
      </c>
      <c r="G201" s="31">
        <f>19.93+19.93+12+12+11.79+11.79+6.86+6.86+6.86+6.86+(2*3.14*4.05)+(2*3.14*1.82)</f>
        <v>151.74359999999999</v>
      </c>
      <c r="H201" s="31">
        <f t="shared" si="26"/>
        <v>151.74</v>
      </c>
      <c r="I201" s="151">
        <f t="shared" ref="I201:I214" si="42">ROUND(H201*E201,2)</f>
        <v>1684.31</v>
      </c>
      <c r="K201" s="97"/>
    </row>
    <row r="202" spans="1:11" s="8" customFormat="1" ht="120" x14ac:dyDescent="0.2">
      <c r="A202" s="83" t="s">
        <v>284</v>
      </c>
      <c r="B202" s="32" t="s">
        <v>467</v>
      </c>
      <c r="C202" s="28" t="s">
        <v>268</v>
      </c>
      <c r="D202" s="29">
        <v>133.86000000000001</v>
      </c>
      <c r="E202" s="148">
        <f t="shared" si="41"/>
        <v>170.06</v>
      </c>
      <c r="F202" s="30" t="s">
        <v>53</v>
      </c>
      <c r="G202" s="31">
        <f>(2*((23.53*4)+(19.29*2)))</f>
        <v>265.39999999999998</v>
      </c>
      <c r="H202" s="31">
        <f t="shared" si="26"/>
        <v>265.39999999999998</v>
      </c>
      <c r="I202" s="151">
        <f t="shared" si="42"/>
        <v>45133.919999999998</v>
      </c>
      <c r="K202" s="97"/>
    </row>
    <row r="203" spans="1:11" s="8" customFormat="1" ht="75" x14ac:dyDescent="0.2">
      <c r="A203" s="83" t="s">
        <v>285</v>
      </c>
      <c r="B203" s="32" t="s">
        <v>468</v>
      </c>
      <c r="C203" s="28" t="s">
        <v>261</v>
      </c>
      <c r="D203" s="29">
        <v>616.64</v>
      </c>
      <c r="E203" s="148">
        <f t="shared" si="41"/>
        <v>783.38</v>
      </c>
      <c r="F203" s="30" t="s">
        <v>53</v>
      </c>
      <c r="G203" s="31">
        <f>((2.6*1.5)*4)+((3.5*2.8)*4)</f>
        <v>54.8</v>
      </c>
      <c r="H203" s="31">
        <f t="shared" si="26"/>
        <v>54.8</v>
      </c>
      <c r="I203" s="151">
        <f t="shared" si="42"/>
        <v>42929.22</v>
      </c>
      <c r="K203" s="97"/>
    </row>
    <row r="204" spans="1:11" s="8" customFormat="1" ht="45" x14ac:dyDescent="0.2">
      <c r="A204" s="83" t="s">
        <v>286</v>
      </c>
      <c r="B204" s="32" t="s">
        <v>469</v>
      </c>
      <c r="C204" s="28" t="s">
        <v>318</v>
      </c>
      <c r="D204" s="29">
        <v>1614.71</v>
      </c>
      <c r="E204" s="148">
        <f t="shared" si="41"/>
        <v>2051.33</v>
      </c>
      <c r="F204" s="30" t="s">
        <v>22</v>
      </c>
      <c r="G204" s="31">
        <v>1</v>
      </c>
      <c r="H204" s="31">
        <f t="shared" si="26"/>
        <v>1</v>
      </c>
      <c r="I204" s="151">
        <f t="shared" si="42"/>
        <v>2051.33</v>
      </c>
      <c r="K204" s="97"/>
    </row>
    <row r="205" spans="1:11" s="8" customFormat="1" ht="45" x14ac:dyDescent="0.2">
      <c r="A205" s="83" t="s">
        <v>287</v>
      </c>
      <c r="B205" s="32" t="s">
        <v>470</v>
      </c>
      <c r="C205" s="28" t="s">
        <v>319</v>
      </c>
      <c r="D205" s="29">
        <v>2493.25</v>
      </c>
      <c r="E205" s="148">
        <f t="shared" si="41"/>
        <v>3167.42</v>
      </c>
      <c r="F205" s="30" t="s">
        <v>22</v>
      </c>
      <c r="G205" s="31">
        <v>2</v>
      </c>
      <c r="H205" s="31">
        <f t="shared" si="26"/>
        <v>2</v>
      </c>
      <c r="I205" s="151">
        <f t="shared" si="42"/>
        <v>6334.84</v>
      </c>
      <c r="K205" s="97"/>
    </row>
    <row r="206" spans="1:11" s="8" customFormat="1" ht="45" x14ac:dyDescent="0.2">
      <c r="A206" s="83" t="s">
        <v>288</v>
      </c>
      <c r="B206" s="32" t="s">
        <v>471</v>
      </c>
      <c r="C206" s="28" t="s">
        <v>320</v>
      </c>
      <c r="D206" s="29">
        <v>3049.43</v>
      </c>
      <c r="E206" s="148">
        <f t="shared" si="41"/>
        <v>3874</v>
      </c>
      <c r="F206" s="30" t="s">
        <v>22</v>
      </c>
      <c r="G206" s="31">
        <v>1</v>
      </c>
      <c r="H206" s="31">
        <f t="shared" si="26"/>
        <v>1</v>
      </c>
      <c r="I206" s="151">
        <f t="shared" si="42"/>
        <v>3874</v>
      </c>
      <c r="K206" s="97"/>
    </row>
    <row r="207" spans="1:11" s="8" customFormat="1" ht="30" x14ac:dyDescent="0.2">
      <c r="A207" s="83" t="s">
        <v>289</v>
      </c>
      <c r="B207" s="32" t="s">
        <v>269</v>
      </c>
      <c r="C207" s="28" t="s">
        <v>270</v>
      </c>
      <c r="D207" s="29">
        <v>263.39</v>
      </c>
      <c r="E207" s="148">
        <f t="shared" si="41"/>
        <v>334.61</v>
      </c>
      <c r="F207" s="30" t="s">
        <v>55</v>
      </c>
      <c r="G207" s="31">
        <f>G200*0.05</f>
        <v>16.645500000000002</v>
      </c>
      <c r="H207" s="31">
        <f t="shared" si="26"/>
        <v>16.649999999999999</v>
      </c>
      <c r="I207" s="151">
        <f t="shared" si="42"/>
        <v>5571.26</v>
      </c>
      <c r="K207" s="97"/>
    </row>
    <row r="208" spans="1:11" s="8" customFormat="1" ht="45" x14ac:dyDescent="0.2">
      <c r="A208" s="83" t="s">
        <v>290</v>
      </c>
      <c r="B208" s="32" t="s">
        <v>472</v>
      </c>
      <c r="C208" s="28" t="s">
        <v>296</v>
      </c>
      <c r="D208" s="29">
        <v>30.04</v>
      </c>
      <c r="E208" s="148">
        <f t="shared" si="41"/>
        <v>38.159999999999997</v>
      </c>
      <c r="F208" s="30" t="s">
        <v>53</v>
      </c>
      <c r="G208" s="31">
        <f>G200</f>
        <v>332.91</v>
      </c>
      <c r="H208" s="31">
        <f t="shared" si="26"/>
        <v>332.91</v>
      </c>
      <c r="I208" s="151">
        <f t="shared" si="42"/>
        <v>12703.85</v>
      </c>
      <c r="K208" s="97"/>
    </row>
    <row r="209" spans="1:13" s="8" customFormat="1" ht="75" x14ac:dyDescent="0.2">
      <c r="A209" s="83" t="s">
        <v>291</v>
      </c>
      <c r="B209" s="32" t="s">
        <v>473</v>
      </c>
      <c r="C209" s="28" t="s">
        <v>630</v>
      </c>
      <c r="D209" s="29">
        <v>710.7</v>
      </c>
      <c r="E209" s="148">
        <f t="shared" si="41"/>
        <v>902.87</v>
      </c>
      <c r="F209" s="30" t="s">
        <v>55</v>
      </c>
      <c r="G209" s="31">
        <f>G208*0.08</f>
        <v>26.632800000000003</v>
      </c>
      <c r="H209" s="31">
        <f t="shared" si="26"/>
        <v>26.63</v>
      </c>
      <c r="I209" s="151">
        <f t="shared" si="42"/>
        <v>24043.43</v>
      </c>
      <c r="K209" s="97"/>
    </row>
    <row r="210" spans="1:13" s="8" customFormat="1" ht="60" x14ac:dyDescent="0.2">
      <c r="A210" s="83" t="s">
        <v>292</v>
      </c>
      <c r="B210" s="32" t="s">
        <v>474</v>
      </c>
      <c r="C210" s="28" t="s">
        <v>304</v>
      </c>
      <c r="D210" s="29">
        <v>15.49</v>
      </c>
      <c r="E210" s="148">
        <f t="shared" si="41"/>
        <v>19.68</v>
      </c>
      <c r="F210" s="30" t="s">
        <v>53</v>
      </c>
      <c r="G210" s="31">
        <f>G209</f>
        <v>26.632800000000003</v>
      </c>
      <c r="H210" s="31">
        <f t="shared" si="26"/>
        <v>26.63</v>
      </c>
      <c r="I210" s="151">
        <f t="shared" si="42"/>
        <v>524.08000000000004</v>
      </c>
      <c r="K210" s="97"/>
    </row>
    <row r="211" spans="1:13" s="8" customFormat="1" ht="30" x14ac:dyDescent="0.2">
      <c r="A211" s="83" t="s">
        <v>293</v>
      </c>
      <c r="B211" s="32" t="s">
        <v>271</v>
      </c>
      <c r="C211" s="28" t="s">
        <v>272</v>
      </c>
      <c r="D211" s="29">
        <v>20</v>
      </c>
      <c r="E211" s="148">
        <f t="shared" si="41"/>
        <v>25.41</v>
      </c>
      <c r="F211" s="30" t="s">
        <v>53</v>
      </c>
      <c r="G211" s="31">
        <f>(20+20+12+12)*3.85</f>
        <v>246.4</v>
      </c>
      <c r="H211" s="31">
        <f t="shared" si="26"/>
        <v>246.4</v>
      </c>
      <c r="I211" s="151">
        <f t="shared" si="42"/>
        <v>6261.02</v>
      </c>
      <c r="K211" s="97"/>
    </row>
    <row r="212" spans="1:13" s="8" customFormat="1" ht="108" customHeight="1" x14ac:dyDescent="0.2">
      <c r="A212" s="83" t="s">
        <v>316</v>
      </c>
      <c r="B212" s="32" t="s">
        <v>475</v>
      </c>
      <c r="C212" s="28" t="s">
        <v>273</v>
      </c>
      <c r="D212" s="29">
        <v>258.93</v>
      </c>
      <c r="E212" s="148">
        <f t="shared" si="41"/>
        <v>328.94</v>
      </c>
      <c r="F212" s="30" t="s">
        <v>53</v>
      </c>
      <c r="G212" s="31">
        <f>23.53*19.29</f>
        <v>453.89370000000002</v>
      </c>
      <c r="H212" s="31">
        <f t="shared" si="26"/>
        <v>453.89</v>
      </c>
      <c r="I212" s="151">
        <f t="shared" si="42"/>
        <v>149302.57999999999</v>
      </c>
      <c r="K212" s="97"/>
    </row>
    <row r="213" spans="1:13" s="8" customFormat="1" ht="75" x14ac:dyDescent="0.2">
      <c r="A213" s="83" t="s">
        <v>317</v>
      </c>
      <c r="B213" s="32" t="s">
        <v>476</v>
      </c>
      <c r="C213" s="28" t="s">
        <v>274</v>
      </c>
      <c r="D213" s="29">
        <v>95.33</v>
      </c>
      <c r="E213" s="148">
        <f t="shared" si="41"/>
        <v>121.11</v>
      </c>
      <c r="F213" s="30" t="s">
        <v>53</v>
      </c>
      <c r="G213" s="31">
        <f>G212+((2*19.29+2*23.53)*1.5)</f>
        <v>582.3537</v>
      </c>
      <c r="H213" s="31">
        <f t="shared" si="26"/>
        <v>582.35</v>
      </c>
      <c r="I213" s="151">
        <f t="shared" si="42"/>
        <v>70528.41</v>
      </c>
      <c r="K213" s="97"/>
    </row>
    <row r="214" spans="1:13" s="8" customFormat="1" ht="60" x14ac:dyDescent="0.2">
      <c r="A214" s="83" t="s">
        <v>324</v>
      </c>
      <c r="B214" s="32" t="s">
        <v>417</v>
      </c>
      <c r="C214" s="28" t="s">
        <v>326</v>
      </c>
      <c r="D214" s="29">
        <v>113.87</v>
      </c>
      <c r="E214" s="148">
        <f t="shared" si="41"/>
        <v>144.66</v>
      </c>
      <c r="F214" s="30" t="s">
        <v>53</v>
      </c>
      <c r="G214" s="31">
        <f>(20.86+20.86+24.94+24.94+1.3+1.3+0.3+0.3)*0.2</f>
        <v>18.959999999999997</v>
      </c>
      <c r="H214" s="31">
        <f t="shared" si="26"/>
        <v>18.96</v>
      </c>
      <c r="I214" s="151">
        <f t="shared" si="42"/>
        <v>2742.75</v>
      </c>
      <c r="K214" s="97"/>
    </row>
    <row r="215" spans="1:13" s="120" customFormat="1" ht="15.75" x14ac:dyDescent="0.25">
      <c r="A215" s="170">
        <v>21</v>
      </c>
      <c r="B215" s="171"/>
      <c r="C215" s="20" t="s">
        <v>201</v>
      </c>
      <c r="D215" s="27"/>
      <c r="E215" s="27"/>
      <c r="F215" s="27"/>
      <c r="G215" s="27"/>
      <c r="H215" s="69"/>
      <c r="I215" s="82">
        <f>SUM(I216)</f>
        <v>2340.86</v>
      </c>
      <c r="J215" s="108"/>
      <c r="K215" s="121"/>
    </row>
    <row r="216" spans="1:13" s="8" customFormat="1" ht="30" x14ac:dyDescent="0.2">
      <c r="A216" s="133" t="s">
        <v>353</v>
      </c>
      <c r="B216" s="134" t="s">
        <v>477</v>
      </c>
      <c r="C216" s="135" t="s">
        <v>265</v>
      </c>
      <c r="D216" s="132">
        <v>1842.62</v>
      </c>
      <c r="E216" s="132">
        <f t="shared" ref="E216" si="43">ROUND(D216+$F$3*D216,2)</f>
        <v>2340.86</v>
      </c>
      <c r="F216" s="136" t="s">
        <v>202</v>
      </c>
      <c r="G216" s="137">
        <v>1</v>
      </c>
      <c r="H216" s="31">
        <f t="shared" si="26"/>
        <v>1</v>
      </c>
      <c r="I216" s="84">
        <f>ROUND(H216*E216,2)</f>
        <v>2340.86</v>
      </c>
      <c r="K216" s="97"/>
    </row>
    <row r="217" spans="1:13" s="108" customFormat="1" ht="15.75" x14ac:dyDescent="0.25">
      <c r="A217" s="170">
        <v>22</v>
      </c>
      <c r="B217" s="171"/>
      <c r="C217" s="20" t="s">
        <v>322</v>
      </c>
      <c r="D217" s="27"/>
      <c r="E217" s="27"/>
      <c r="F217" s="27"/>
      <c r="G217" s="27"/>
      <c r="H217" s="69"/>
      <c r="I217" s="82">
        <f>SUM(I218:I219)</f>
        <v>5083</v>
      </c>
      <c r="J217" s="120"/>
      <c r="K217" s="109"/>
    </row>
    <row r="218" spans="1:13" s="8" customFormat="1" ht="60" x14ac:dyDescent="0.2">
      <c r="A218" s="83" t="s">
        <v>354</v>
      </c>
      <c r="B218" s="32" t="s">
        <v>478</v>
      </c>
      <c r="C218" s="28" t="s">
        <v>321</v>
      </c>
      <c r="D218" s="29">
        <v>180.59</v>
      </c>
      <c r="E218" s="29">
        <f>ROUND(D218+$F$3*D218,2)</f>
        <v>229.42</v>
      </c>
      <c r="F218" s="30" t="s">
        <v>22</v>
      </c>
      <c r="G218" s="31">
        <v>4</v>
      </c>
      <c r="H218" s="31">
        <f t="shared" si="26"/>
        <v>4</v>
      </c>
      <c r="I218" s="84">
        <f>ROUND(H218*E218,2)</f>
        <v>917.68</v>
      </c>
      <c r="K218" s="97"/>
    </row>
    <row r="219" spans="1:13" s="4" customFormat="1" ht="75.75" x14ac:dyDescent="0.25">
      <c r="A219" s="133" t="s">
        <v>355</v>
      </c>
      <c r="B219" s="134" t="s">
        <v>479</v>
      </c>
      <c r="C219" s="135" t="s">
        <v>323</v>
      </c>
      <c r="D219" s="132">
        <v>273.23</v>
      </c>
      <c r="E219" s="132">
        <f>ROUND(D219+$F$3*D219,2)</f>
        <v>347.11</v>
      </c>
      <c r="F219" s="136" t="s">
        <v>89</v>
      </c>
      <c r="G219" s="137">
        <f>3.6+3.6+2.4+2.4</f>
        <v>12</v>
      </c>
      <c r="H219" s="31">
        <f t="shared" si="26"/>
        <v>12</v>
      </c>
      <c r="I219" s="84">
        <f>ROUND(H219*E219,2)</f>
        <v>4165.32</v>
      </c>
      <c r="J219" s="8"/>
      <c r="L219" s="138"/>
    </row>
    <row r="220" spans="1:13" s="120" customFormat="1" ht="15.75" x14ac:dyDescent="0.25">
      <c r="A220" s="125">
        <v>23</v>
      </c>
      <c r="B220" s="126"/>
      <c r="C220" s="127" t="s">
        <v>119</v>
      </c>
      <c r="D220" s="128"/>
      <c r="E220" s="128"/>
      <c r="F220" s="129"/>
      <c r="G220" s="130"/>
      <c r="H220" s="69"/>
      <c r="I220" s="131">
        <f>SUM(I221:I222)</f>
        <v>44108.09</v>
      </c>
      <c r="J220" s="108"/>
      <c r="M220" s="122"/>
    </row>
    <row r="221" spans="1:13" s="4" customFormat="1" ht="15.75" x14ac:dyDescent="0.25">
      <c r="A221" s="124" t="s">
        <v>356</v>
      </c>
      <c r="B221" s="32" t="s">
        <v>480</v>
      </c>
      <c r="C221" s="28" t="s">
        <v>141</v>
      </c>
      <c r="D221" s="29">
        <v>8.61</v>
      </c>
      <c r="E221" s="29">
        <f>ROUND(D221+$F$3*D221,2)</f>
        <v>10.94</v>
      </c>
      <c r="F221" s="30" t="s">
        <v>53</v>
      </c>
      <c r="G221" s="31">
        <v>3984.41</v>
      </c>
      <c r="H221" s="31">
        <f t="shared" si="26"/>
        <v>3984.41</v>
      </c>
      <c r="I221" s="29">
        <f>ROUND(H221*E221,2)</f>
        <v>43589.45</v>
      </c>
      <c r="J221" s="8"/>
    </row>
    <row r="222" spans="1:13" s="4" customFormat="1" ht="46.5" thickBot="1" x14ac:dyDescent="0.3">
      <c r="A222" s="152" t="s">
        <v>384</v>
      </c>
      <c r="B222" s="134" t="s">
        <v>481</v>
      </c>
      <c r="C222" s="135" t="s">
        <v>383</v>
      </c>
      <c r="D222" s="132">
        <v>17.010000000000002</v>
      </c>
      <c r="E222" s="132">
        <f>ROUND(D222+$F$3*D222,2)</f>
        <v>21.61</v>
      </c>
      <c r="F222" s="136" t="s">
        <v>22</v>
      </c>
      <c r="G222" s="137">
        <v>24</v>
      </c>
      <c r="H222" s="137">
        <f t="shared" si="26"/>
        <v>24</v>
      </c>
      <c r="I222" s="29">
        <f>ROUND(H222*E222,2)</f>
        <v>518.64</v>
      </c>
      <c r="J222" s="8"/>
    </row>
    <row r="223" spans="1:13" ht="18.75" thickBot="1" x14ac:dyDescent="0.3">
      <c r="A223" s="66"/>
      <c r="B223" s="67"/>
      <c r="C223" s="172" t="s">
        <v>68</v>
      </c>
      <c r="D223" s="173"/>
      <c r="E223" s="173"/>
      <c r="F223" s="173"/>
      <c r="G223" s="173"/>
      <c r="H223" s="174"/>
      <c r="I223" s="65">
        <f>SUM(I8,I15,I22,I34,I49,I53,I60,I68,I79,I84,I121,I126,I149,I155,I164,I166,I177,I182,I186,I189,I215,I217,I220)</f>
        <v>4721305.5199999996</v>
      </c>
    </row>
    <row r="224" spans="1:13" ht="100.5" customHeight="1" x14ac:dyDescent="0.25">
      <c r="A224" s="153" t="s">
        <v>234</v>
      </c>
      <c r="B224" s="154"/>
      <c r="C224" s="155"/>
      <c r="D224" s="156" t="s">
        <v>234</v>
      </c>
      <c r="E224" s="157"/>
      <c r="F224" s="157"/>
      <c r="G224" s="157"/>
      <c r="H224" s="157"/>
      <c r="I224" s="158"/>
    </row>
    <row r="225" spans="1:9" x14ac:dyDescent="0.25">
      <c r="A225" s="153"/>
      <c r="B225" s="154"/>
      <c r="C225" s="155"/>
      <c r="D225" s="159"/>
      <c r="E225" s="157"/>
      <c r="F225" s="157"/>
      <c r="G225" s="157"/>
      <c r="H225" s="157"/>
      <c r="I225" s="158"/>
    </row>
    <row r="226" spans="1:9" ht="15.75" x14ac:dyDescent="0.25">
      <c r="A226" s="160" t="s">
        <v>233</v>
      </c>
      <c r="B226" s="161"/>
      <c r="C226" s="162"/>
      <c r="D226" s="166" t="s">
        <v>365</v>
      </c>
      <c r="E226" s="157"/>
      <c r="F226" s="157"/>
      <c r="G226" s="157"/>
      <c r="H226" s="157"/>
      <c r="I226" s="158"/>
    </row>
    <row r="227" spans="1:9" ht="16.5" thickBot="1" x14ac:dyDescent="0.3">
      <c r="A227" s="163" t="s">
        <v>235</v>
      </c>
      <c r="B227" s="164"/>
      <c r="C227" s="165"/>
      <c r="D227" s="167" t="s">
        <v>236</v>
      </c>
      <c r="E227" s="168"/>
      <c r="F227" s="168"/>
      <c r="G227" s="168"/>
      <c r="H227" s="168"/>
      <c r="I227" s="169"/>
    </row>
    <row r="229" spans="1:9" x14ac:dyDescent="0.25">
      <c r="C229" s="61"/>
    </row>
    <row r="230" spans="1:9" x14ac:dyDescent="0.25">
      <c r="C230" s="62"/>
    </row>
    <row r="231" spans="1:9" x14ac:dyDescent="0.25">
      <c r="C231" s="62"/>
    </row>
    <row r="232" spans="1:9" x14ac:dyDescent="0.25">
      <c r="C232" s="62"/>
    </row>
    <row r="233" spans="1:9" x14ac:dyDescent="0.25">
      <c r="C233" s="62"/>
    </row>
    <row r="234" spans="1:9" x14ac:dyDescent="0.25">
      <c r="C234" s="62"/>
    </row>
    <row r="235" spans="1:9" x14ac:dyDescent="0.25">
      <c r="C235" s="62"/>
    </row>
  </sheetData>
  <mergeCells count="37">
    <mergeCell ref="A22:B22"/>
    <mergeCell ref="A79:B79"/>
    <mergeCell ref="A5:C5"/>
    <mergeCell ref="A1:I1"/>
    <mergeCell ref="A2:C2"/>
    <mergeCell ref="A3:C3"/>
    <mergeCell ref="A4:C4"/>
    <mergeCell ref="A6:C6"/>
    <mergeCell ref="A8:B8"/>
    <mergeCell ref="A34:B34"/>
    <mergeCell ref="A49:B49"/>
    <mergeCell ref="A53:B53"/>
    <mergeCell ref="A60:B60"/>
    <mergeCell ref="A15:B15"/>
    <mergeCell ref="A68:B68"/>
    <mergeCell ref="C223:H223"/>
    <mergeCell ref="A177:B177"/>
    <mergeCell ref="A186:B186"/>
    <mergeCell ref="A121:B121"/>
    <mergeCell ref="A215:B215"/>
    <mergeCell ref="A217:B217"/>
    <mergeCell ref="A189:B189"/>
    <mergeCell ref="A190:B190"/>
    <mergeCell ref="A194:B194"/>
    <mergeCell ref="A199:B199"/>
    <mergeCell ref="A84:B84"/>
    <mergeCell ref="A126:B126"/>
    <mergeCell ref="A155:B155"/>
    <mergeCell ref="A164:B164"/>
    <mergeCell ref="A182:B182"/>
    <mergeCell ref="A166:B166"/>
    <mergeCell ref="A224:C225"/>
    <mergeCell ref="D224:I225"/>
    <mergeCell ref="A226:C226"/>
    <mergeCell ref="A227:C227"/>
    <mergeCell ref="D226:I226"/>
    <mergeCell ref="D227:I227"/>
  </mergeCells>
  <phoneticPr fontId="27" type="noConversion"/>
  <pageMargins left="0.23622047244094491" right="0.23622047244094491" top="0.74803149606299213" bottom="0.74803149606299213" header="0.31496062992125984" footer="0.31496062992125984"/>
  <pageSetup paperSize="9" scale="62" fitToHeight="0" orientation="landscape" verticalDpi="360" r:id="rId1"/>
  <headerFooter>
    <oddHeader>&amp;L</oddHeader>
    <oddFooter>&amp;CPágina &amp;P de &amp;N</oddFooter>
  </headerFooter>
  <rowBreaks count="1" manualBreakCount="1">
    <brk id="48"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48"/>
  <sheetViews>
    <sheetView view="pageBreakPreview" topLeftCell="A14" zoomScale="51" zoomScaleNormal="84" zoomScaleSheetLayoutView="51" workbookViewId="0">
      <selection activeCell="H32" sqref="H32"/>
    </sheetView>
  </sheetViews>
  <sheetFormatPr defaultRowHeight="15" x14ac:dyDescent="0.25"/>
  <cols>
    <col min="1" max="1" width="37.85546875" customWidth="1"/>
    <col min="2" max="2" width="14.28515625" style="39" customWidth="1"/>
    <col min="3" max="3" width="22.5703125" customWidth="1"/>
    <col min="4" max="4" width="17.140625" customWidth="1"/>
    <col min="5" max="5" width="20" customWidth="1"/>
    <col min="6" max="6" width="18.85546875" customWidth="1"/>
    <col min="7" max="7" width="18.5703125" customWidth="1"/>
    <col min="8" max="8" width="18.42578125" customWidth="1"/>
    <col min="9" max="9" width="18.7109375" customWidth="1"/>
    <col min="10" max="10" width="19.28515625" customWidth="1"/>
    <col min="11" max="11" width="18.85546875" customWidth="1"/>
    <col min="12" max="12" width="18.5703125" customWidth="1"/>
    <col min="13" max="13" width="19.28515625" customWidth="1"/>
    <col min="14" max="14" width="19.140625" customWidth="1"/>
    <col min="15" max="15" width="18.85546875" customWidth="1"/>
    <col min="16" max="16" width="23.5703125" style="3" customWidth="1"/>
  </cols>
  <sheetData>
    <row r="1" spans="1:16" ht="140.25" customHeight="1" thickBot="1" x14ac:dyDescent="0.3">
      <c r="A1" s="192" t="s">
        <v>186</v>
      </c>
      <c r="B1" s="193"/>
      <c r="C1" s="193"/>
      <c r="D1" s="193"/>
      <c r="E1" s="193"/>
      <c r="F1" s="193"/>
      <c r="G1" s="193"/>
      <c r="H1" s="193"/>
      <c r="I1" s="193"/>
      <c r="J1" s="193"/>
      <c r="K1" s="193"/>
      <c r="L1" s="193"/>
      <c r="M1" s="193"/>
      <c r="N1" s="193"/>
      <c r="O1" s="193"/>
      <c r="P1" s="194"/>
    </row>
    <row r="2" spans="1:16" ht="39" customHeight="1" x14ac:dyDescent="0.35">
      <c r="A2" s="49" t="s">
        <v>5</v>
      </c>
      <c r="B2" s="50" t="s">
        <v>6</v>
      </c>
      <c r="C2" s="51" t="s">
        <v>7</v>
      </c>
      <c r="D2" s="51" t="s">
        <v>12</v>
      </c>
      <c r="E2" s="51" t="s">
        <v>13</v>
      </c>
      <c r="F2" s="51" t="s">
        <v>50</v>
      </c>
      <c r="G2" s="51" t="s">
        <v>67</v>
      </c>
      <c r="H2" s="51" t="s">
        <v>167</v>
      </c>
      <c r="I2" s="51" t="s">
        <v>168</v>
      </c>
      <c r="J2" s="51" t="s">
        <v>169</v>
      </c>
      <c r="K2" s="51" t="s">
        <v>170</v>
      </c>
      <c r="L2" s="51" t="s">
        <v>171</v>
      </c>
      <c r="M2" s="51" t="s">
        <v>172</v>
      </c>
      <c r="N2" s="51" t="s">
        <v>173</v>
      </c>
      <c r="O2" s="51" t="s">
        <v>174</v>
      </c>
      <c r="P2" s="52" t="s">
        <v>8</v>
      </c>
    </row>
    <row r="3" spans="1:16" ht="30" customHeight="1" x14ac:dyDescent="0.25">
      <c r="A3" s="53" t="str">
        <f>'Planilha Orçamentária'!C8</f>
        <v>SERVIÇOS PRELIMINARES</v>
      </c>
      <c r="B3" s="43">
        <f t="shared" ref="B3:B20" si="0">C3/$C$26</f>
        <v>1.5844903424085129E-2</v>
      </c>
      <c r="C3" s="44">
        <f>'Planilha Orçamentária'!I8</f>
        <v>74808.63</v>
      </c>
      <c r="D3" s="45">
        <f>C3</f>
        <v>74808.63</v>
      </c>
      <c r="E3" s="45"/>
      <c r="F3" s="45"/>
      <c r="G3" s="45"/>
      <c r="H3" s="45"/>
      <c r="I3" s="45"/>
      <c r="J3" s="45"/>
      <c r="K3" s="45"/>
      <c r="L3" s="45"/>
      <c r="M3" s="45"/>
      <c r="N3" s="45"/>
      <c r="O3" s="45"/>
      <c r="P3" s="54">
        <f>SUM(D3:O3)</f>
        <v>74808.63</v>
      </c>
    </row>
    <row r="4" spans="1:16" ht="30" customHeight="1" x14ac:dyDescent="0.25">
      <c r="A4" s="53" t="str">
        <f>'Planilha Orçamentária'!C15</f>
        <v>MOVIMENTO DE TERRA</v>
      </c>
      <c r="B4" s="43">
        <f t="shared" si="0"/>
        <v>1.3214135313996796E-2</v>
      </c>
      <c r="C4" s="44">
        <f>'Planilha Orçamentária'!I15</f>
        <v>62387.97</v>
      </c>
      <c r="D4" s="45"/>
      <c r="E4" s="45">
        <f>1*C4</f>
        <v>62387.97</v>
      </c>
      <c r="F4" s="45"/>
      <c r="G4" s="45"/>
      <c r="H4" s="45"/>
      <c r="I4" s="45"/>
      <c r="J4" s="45"/>
      <c r="K4" s="45"/>
      <c r="L4" s="45"/>
      <c r="M4" s="45"/>
      <c r="N4" s="45"/>
      <c r="O4" s="45"/>
      <c r="P4" s="54">
        <f t="shared" ref="P4:P25" si="1">SUM(D4:O4)</f>
        <v>62387.97</v>
      </c>
    </row>
    <row r="5" spans="1:16" ht="30" customHeight="1" x14ac:dyDescent="0.25">
      <c r="A5" s="53" t="str">
        <f>'Planilha Orçamentária'!C22</f>
        <v>FUNDAÇÃO</v>
      </c>
      <c r="B5" s="43">
        <f t="shared" si="0"/>
        <v>4.0790925133775288E-2</v>
      </c>
      <c r="C5" s="44">
        <f>'Planilha Orçamentária'!I22</f>
        <v>192586.41999999998</v>
      </c>
      <c r="D5" s="45"/>
      <c r="E5" s="45">
        <f>C5</f>
        <v>192586.41999999998</v>
      </c>
      <c r="F5" s="45"/>
      <c r="G5" s="45"/>
      <c r="H5" s="45"/>
      <c r="I5" s="45"/>
      <c r="J5" s="45"/>
      <c r="K5" s="45"/>
      <c r="L5" s="45"/>
      <c r="M5" s="45"/>
      <c r="N5" s="45"/>
      <c r="O5" s="68"/>
      <c r="P5" s="54">
        <f t="shared" ref="P5:P12" si="2">SUM(D5:N5)</f>
        <v>192586.41999999998</v>
      </c>
    </row>
    <row r="6" spans="1:16" ht="30" customHeight="1" x14ac:dyDescent="0.25">
      <c r="A6" s="53" t="str">
        <f>'Planilha Orçamentária'!C34</f>
        <v>ESTRUTURA</v>
      </c>
      <c r="B6" s="43">
        <f t="shared" si="0"/>
        <v>0.17657383036715665</v>
      </c>
      <c r="C6" s="44">
        <f>'Planilha Orçamentária'!I34</f>
        <v>833659.00000000023</v>
      </c>
      <c r="D6" s="45"/>
      <c r="E6" s="45"/>
      <c r="F6" s="45">
        <f>0.5*C6</f>
        <v>416829.50000000012</v>
      </c>
      <c r="G6" s="45">
        <f>0.5*C6</f>
        <v>416829.50000000012</v>
      </c>
      <c r="H6" s="45"/>
      <c r="I6" s="45"/>
      <c r="J6" s="45"/>
      <c r="K6" s="45"/>
      <c r="L6" s="45"/>
      <c r="M6" s="45"/>
      <c r="N6" s="45"/>
      <c r="O6" s="68"/>
      <c r="P6" s="54">
        <f t="shared" si="2"/>
        <v>833659.00000000023</v>
      </c>
    </row>
    <row r="7" spans="1:16" ht="30" customHeight="1" x14ac:dyDescent="0.25">
      <c r="A7" s="53" t="str">
        <f>'Planilha Orçamentária'!C49</f>
        <v>PAREDES E DIVISÓRIAS</v>
      </c>
      <c r="B7" s="43">
        <f t="shared" si="0"/>
        <v>5.6721550610433713E-2</v>
      </c>
      <c r="C7" s="44">
        <f>'Planilha Orçamentária'!I49</f>
        <v>267799.77</v>
      </c>
      <c r="D7" s="45"/>
      <c r="E7" s="45"/>
      <c r="F7" s="45"/>
      <c r="G7" s="45"/>
      <c r="H7" s="45">
        <f>C7</f>
        <v>267799.77</v>
      </c>
      <c r="I7" s="45"/>
      <c r="J7" s="45"/>
      <c r="K7" s="45"/>
      <c r="L7" s="45"/>
      <c r="M7" s="45"/>
      <c r="N7" s="45"/>
      <c r="O7" s="68"/>
      <c r="P7" s="54">
        <f t="shared" si="2"/>
        <v>267799.77</v>
      </c>
    </row>
    <row r="8" spans="1:16" ht="30" customHeight="1" x14ac:dyDescent="0.25">
      <c r="A8" s="53" t="str">
        <f>'Planilha Orçamentária'!C53</f>
        <v>COBERTURA</v>
      </c>
      <c r="B8" s="43">
        <f t="shared" si="0"/>
        <v>7.902967694410086E-2</v>
      </c>
      <c r="C8" s="44">
        <f>'Planilha Orçamentária'!I53</f>
        <v>373123.25000000006</v>
      </c>
      <c r="D8" s="45"/>
      <c r="E8" s="45"/>
      <c r="F8" s="45"/>
      <c r="G8" s="45"/>
      <c r="H8" s="45">
        <f>0.75*C8</f>
        <v>279842.43750000006</v>
      </c>
      <c r="I8" s="45">
        <f>0.25*C8</f>
        <v>93280.812500000015</v>
      </c>
      <c r="J8" s="45"/>
      <c r="K8" s="45"/>
      <c r="L8" s="45"/>
      <c r="M8" s="45"/>
      <c r="N8" s="45"/>
      <c r="O8" s="68"/>
      <c r="P8" s="54">
        <f t="shared" si="2"/>
        <v>373123.25000000006</v>
      </c>
    </row>
    <row r="9" spans="1:16" ht="30" customHeight="1" x14ac:dyDescent="0.25">
      <c r="A9" s="53" t="str">
        <f>'Planilha Orçamentária'!C60</f>
        <v>ESQUADRIAS</v>
      </c>
      <c r="B9" s="43">
        <f t="shared" si="0"/>
        <v>2.8944674184101526E-2</v>
      </c>
      <c r="C9" s="44">
        <f>'Planilha Orçamentária'!I60</f>
        <v>136656.65000000002</v>
      </c>
      <c r="D9" s="45"/>
      <c r="E9" s="45"/>
      <c r="F9" s="45"/>
      <c r="G9" s="45"/>
      <c r="H9" s="45"/>
      <c r="I9" s="45">
        <f>C9</f>
        <v>136656.65000000002</v>
      </c>
      <c r="J9" s="45"/>
      <c r="K9" s="45"/>
      <c r="L9" s="45"/>
      <c r="M9" s="45"/>
      <c r="N9" s="45"/>
      <c r="O9" s="68"/>
      <c r="P9" s="54">
        <f t="shared" si="2"/>
        <v>136656.65000000002</v>
      </c>
    </row>
    <row r="10" spans="1:16" ht="30" customHeight="1" x14ac:dyDescent="0.25">
      <c r="A10" s="53" t="str">
        <f>'Planilha Orçamentária'!C68</f>
        <v>PAVIMENTAÇÃO</v>
      </c>
      <c r="B10" s="43">
        <f t="shared" si="0"/>
        <v>0.14326337220388144</v>
      </c>
      <c r="C10" s="44">
        <f>'Planilha Orçamentária'!I68</f>
        <v>676390.14999999991</v>
      </c>
      <c r="D10" s="45"/>
      <c r="E10" s="45"/>
      <c r="F10" s="45"/>
      <c r="G10" s="45"/>
      <c r="H10" s="45"/>
      <c r="I10" s="45">
        <f>0.5*C10</f>
        <v>338195.07499999995</v>
      </c>
      <c r="J10" s="45">
        <f>0.5*C10</f>
        <v>338195.07499999995</v>
      </c>
      <c r="K10" s="45"/>
      <c r="L10" s="45"/>
      <c r="M10" s="45"/>
      <c r="N10" s="45"/>
      <c r="O10" s="68"/>
      <c r="P10" s="54">
        <f t="shared" si="2"/>
        <v>676390.14999999991</v>
      </c>
    </row>
    <row r="11" spans="1:16" ht="30" customHeight="1" x14ac:dyDescent="0.25">
      <c r="A11" s="53" t="str">
        <f>'Planilha Orçamentária'!C79</f>
        <v>REVESTIMENTOS</v>
      </c>
      <c r="B11" s="43">
        <f t="shared" si="0"/>
        <v>8.5948850012146652E-2</v>
      </c>
      <c r="C11" s="44">
        <f>'Planilha Orçamentária'!I79</f>
        <v>405790.78</v>
      </c>
      <c r="D11" s="45"/>
      <c r="E11" s="45"/>
      <c r="F11" s="45"/>
      <c r="G11" s="45"/>
      <c r="H11" s="45"/>
      <c r="I11" s="45"/>
      <c r="J11" s="45">
        <f>0.75*C11</f>
        <v>304343.08500000002</v>
      </c>
      <c r="K11" s="45">
        <f>0.25*C11</f>
        <v>101447.69500000001</v>
      </c>
      <c r="L11" s="45"/>
      <c r="M11" s="45"/>
      <c r="N11" s="45"/>
      <c r="O11" s="68"/>
      <c r="P11" s="54">
        <f t="shared" si="2"/>
        <v>405790.78</v>
      </c>
    </row>
    <row r="12" spans="1:16" ht="30" customHeight="1" x14ac:dyDescent="0.25">
      <c r="A12" s="53" t="str">
        <f>'Planilha Orçamentária'!C84</f>
        <v>INSTALAÇÕES ELÉTRICAS</v>
      </c>
      <c r="B12" s="43">
        <f t="shared" si="0"/>
        <v>4.1823109977428462E-2</v>
      </c>
      <c r="C12" s="44">
        <f>'Planilha Orçamentária'!I84</f>
        <v>197459.68000000005</v>
      </c>
      <c r="D12" s="46"/>
      <c r="E12" s="45"/>
      <c r="F12" s="45"/>
      <c r="G12" s="46"/>
      <c r="H12" s="45"/>
      <c r="I12" s="45"/>
      <c r="J12" s="45"/>
      <c r="K12" s="46">
        <f>C12</f>
        <v>197459.68000000005</v>
      </c>
      <c r="L12" s="45"/>
      <c r="M12" s="45"/>
      <c r="N12" s="45"/>
      <c r="O12" s="68"/>
      <c r="P12" s="54">
        <f t="shared" si="2"/>
        <v>197459.68000000005</v>
      </c>
    </row>
    <row r="13" spans="1:16" ht="30" customHeight="1" x14ac:dyDescent="0.25">
      <c r="A13" s="53" t="str">
        <f>'Planilha Orçamentária'!C121</f>
        <v>REDE LÓGICA</v>
      </c>
      <c r="B13" s="43">
        <f t="shared" si="0"/>
        <v>1.7483871706739285E-3</v>
      </c>
      <c r="C13" s="44">
        <f>'Planilha Orçamentária'!I121</f>
        <v>8254.67</v>
      </c>
      <c r="D13" s="46"/>
      <c r="E13" s="45"/>
      <c r="F13" s="45"/>
      <c r="G13" s="46"/>
      <c r="H13" s="45"/>
      <c r="I13" s="45"/>
      <c r="J13" s="45"/>
      <c r="K13" s="46"/>
      <c r="L13" s="45"/>
      <c r="M13" s="45"/>
      <c r="N13" s="111"/>
      <c r="O13" s="45">
        <f>1*C13</f>
        <v>8254.67</v>
      </c>
      <c r="P13" s="54">
        <f>SUM(D13:O13)</f>
        <v>8254.67</v>
      </c>
    </row>
    <row r="14" spans="1:16" ht="30" customHeight="1" x14ac:dyDescent="0.25">
      <c r="A14" s="53" t="str">
        <f>'Planilha Orçamentária'!C126</f>
        <v>INSTALAÇÕES HIDROSSANITÁRIAS</v>
      </c>
      <c r="B14" s="43">
        <f t="shared" si="0"/>
        <v>4.9383936077070492E-2</v>
      </c>
      <c r="C14" s="44">
        <f>'Planilha Orçamentária'!I126</f>
        <v>233156.65000000002</v>
      </c>
      <c r="D14" s="46"/>
      <c r="E14" s="45"/>
      <c r="F14" s="45"/>
      <c r="G14" s="46"/>
      <c r="H14" s="45"/>
      <c r="I14" s="45"/>
      <c r="J14" s="45"/>
      <c r="K14" s="46"/>
      <c r="L14" s="45">
        <f>C14</f>
        <v>233156.65000000002</v>
      </c>
      <c r="M14" s="45"/>
      <c r="N14" s="45"/>
      <c r="O14" s="68"/>
      <c r="P14" s="54">
        <f t="shared" ref="P14:P19" si="3">SUM(D14:N14)</f>
        <v>233156.65000000002</v>
      </c>
    </row>
    <row r="15" spans="1:16" ht="30" customHeight="1" x14ac:dyDescent="0.25">
      <c r="A15" s="53" t="str">
        <f>'Planilha Orçamentária'!C149</f>
        <v xml:space="preserve">DRENAGEM </v>
      </c>
      <c r="B15" s="43">
        <f t="shared" si="0"/>
        <v>1.1237658688946698E-2</v>
      </c>
      <c r="C15" s="44">
        <f>'Planilha Orçamentária'!I149</f>
        <v>53056.420000000006</v>
      </c>
      <c r="D15" s="46"/>
      <c r="E15" s="45">
        <f>0.5*C15</f>
        <v>26528.210000000003</v>
      </c>
      <c r="F15" s="45">
        <f>0.5*C15</f>
        <v>26528.210000000003</v>
      </c>
      <c r="G15" s="46"/>
      <c r="H15" s="45"/>
      <c r="I15" s="45"/>
      <c r="J15" s="45"/>
      <c r="K15" s="46"/>
      <c r="L15" s="45"/>
      <c r="M15" s="45"/>
      <c r="N15" s="45"/>
      <c r="O15" s="68"/>
      <c r="P15" s="54">
        <f t="shared" si="3"/>
        <v>53056.420000000006</v>
      </c>
    </row>
    <row r="16" spans="1:16" ht="30" customHeight="1" x14ac:dyDescent="0.25">
      <c r="A16" s="53" t="str">
        <f>'Planilha Orçamentária'!C155</f>
        <v>PINTURA</v>
      </c>
      <c r="B16" s="43">
        <f t="shared" si="0"/>
        <v>6.9234862818197795E-2</v>
      </c>
      <c r="C16" s="44">
        <f>'Planilha Orçamentária'!I155</f>
        <v>326878.94</v>
      </c>
      <c r="D16" s="46"/>
      <c r="E16" s="45"/>
      <c r="F16" s="45"/>
      <c r="G16" s="46"/>
      <c r="H16" s="45"/>
      <c r="I16" s="45"/>
      <c r="J16" s="45"/>
      <c r="K16" s="46"/>
      <c r="L16" s="45">
        <f>0.5*C16</f>
        <v>163439.47</v>
      </c>
      <c r="M16" s="45">
        <f>0.5*C16</f>
        <v>163439.47</v>
      </c>
      <c r="N16" s="45"/>
      <c r="O16" s="68"/>
      <c r="P16" s="54">
        <f t="shared" si="3"/>
        <v>326878.94</v>
      </c>
    </row>
    <row r="17" spans="1:16" ht="30" customHeight="1" x14ac:dyDescent="0.25">
      <c r="A17" s="53" t="str">
        <f>'Planilha Orçamentária'!C164</f>
        <v>RODAPÉ</v>
      </c>
      <c r="B17" s="43">
        <f t="shared" si="0"/>
        <v>7.3466480517024452E-3</v>
      </c>
      <c r="C17" s="44">
        <f>'Planilha Orçamentária'!I164</f>
        <v>34685.769999999997</v>
      </c>
      <c r="D17" s="46"/>
      <c r="E17" s="45"/>
      <c r="F17" s="45"/>
      <c r="G17" s="46"/>
      <c r="H17" s="45"/>
      <c r="I17" s="45"/>
      <c r="J17" s="45"/>
      <c r="K17" s="46"/>
      <c r="L17" s="45"/>
      <c r="M17" s="45">
        <f>C17</f>
        <v>34685.769999999997</v>
      </c>
      <c r="N17" s="45"/>
      <c r="O17" s="68"/>
      <c r="P17" s="54">
        <f t="shared" si="3"/>
        <v>34685.769999999997</v>
      </c>
    </row>
    <row r="18" spans="1:16" ht="30" customHeight="1" x14ac:dyDescent="0.25">
      <c r="A18" s="53" t="str">
        <f>'Planilha Orçamentária'!C166</f>
        <v>METAIS E LOUÇAS</v>
      </c>
      <c r="B18" s="43">
        <f t="shared" si="0"/>
        <v>1.0077509239435961E-2</v>
      </c>
      <c r="C18" s="44">
        <f>'Planilha Orçamentária'!I166</f>
        <v>47579</v>
      </c>
      <c r="D18" s="46"/>
      <c r="E18" s="45"/>
      <c r="F18" s="45"/>
      <c r="G18" s="46"/>
      <c r="H18" s="45"/>
      <c r="I18" s="45"/>
      <c r="J18" s="45"/>
      <c r="K18" s="46"/>
      <c r="L18" s="45"/>
      <c r="M18" s="45">
        <f>C18</f>
        <v>47579</v>
      </c>
      <c r="N18" s="45"/>
      <c r="O18" s="68"/>
      <c r="P18" s="54">
        <f t="shared" si="3"/>
        <v>47579</v>
      </c>
    </row>
    <row r="19" spans="1:16" ht="30" customHeight="1" x14ac:dyDescent="0.25">
      <c r="A19" s="53" t="str">
        <f>'Planilha Orçamentária'!C177</f>
        <v>BANCADAS E PEITORIL</v>
      </c>
      <c r="B19" s="43">
        <f t="shared" si="0"/>
        <v>1.1063963087904551E-2</v>
      </c>
      <c r="C19" s="44">
        <f>'Planilha Orçamentária'!I177</f>
        <v>52236.35</v>
      </c>
      <c r="D19" s="46"/>
      <c r="E19" s="45"/>
      <c r="F19" s="45"/>
      <c r="G19" s="46"/>
      <c r="H19" s="45"/>
      <c r="I19" s="45"/>
      <c r="J19" s="45"/>
      <c r="K19" s="46"/>
      <c r="L19" s="45"/>
      <c r="M19" s="45">
        <f>C19</f>
        <v>52236.35</v>
      </c>
      <c r="N19" s="45"/>
      <c r="O19" s="68"/>
      <c r="P19" s="54">
        <f t="shared" si="3"/>
        <v>52236.35</v>
      </c>
    </row>
    <row r="20" spans="1:16" ht="30" customHeight="1" x14ac:dyDescent="0.25">
      <c r="A20" s="53" t="str">
        <f>'Planilha Orçamentária'!C182</f>
        <v>MURO DE FECHAMENTO</v>
      </c>
      <c r="B20" s="43">
        <f t="shared" si="0"/>
        <v>5.1013915320608193E-2</v>
      </c>
      <c r="C20" s="44">
        <f>'Planilha Orçamentária'!I182</f>
        <v>240852.28</v>
      </c>
      <c r="D20" s="46">
        <f>0.3*C20</f>
        <v>72255.683999999994</v>
      </c>
      <c r="E20" s="45">
        <f>0.35*C20</f>
        <v>84298.297999999995</v>
      </c>
      <c r="F20" s="45"/>
      <c r="G20" s="45"/>
      <c r="H20" s="46"/>
      <c r="I20" s="45"/>
      <c r="J20" s="45"/>
      <c r="K20" s="45"/>
      <c r="L20" s="46"/>
      <c r="M20" s="45"/>
      <c r="N20" s="45"/>
      <c r="O20" s="45">
        <f>0.35*C20</f>
        <v>84298.297999999995</v>
      </c>
      <c r="P20" s="54">
        <f t="shared" si="1"/>
        <v>240852.27999999997</v>
      </c>
    </row>
    <row r="21" spans="1:16" ht="30" customHeight="1" x14ac:dyDescent="0.25">
      <c r="A21" s="53" t="str">
        <f>'Planilha Orçamentária'!C186</f>
        <v>DEPÓSITO DE GÁS</v>
      </c>
      <c r="B21" s="43">
        <f t="shared" ref="B21:B25" si="4">C21/$C$26</f>
        <v>1.0256358076145009E-3</v>
      </c>
      <c r="C21" s="44">
        <f>'Planilha Orçamentária'!I186</f>
        <v>4842.34</v>
      </c>
      <c r="D21" s="46"/>
      <c r="E21" s="45"/>
      <c r="F21" s="45"/>
      <c r="G21" s="45"/>
      <c r="H21" s="46"/>
      <c r="I21" s="45"/>
      <c r="J21" s="45">
        <f>1*C21</f>
        <v>4842.34</v>
      </c>
      <c r="K21" s="45"/>
      <c r="L21" s="46"/>
      <c r="M21" s="45"/>
      <c r="N21" s="45"/>
      <c r="O21" s="45"/>
      <c r="P21" s="54">
        <f t="shared" si="1"/>
        <v>4842.34</v>
      </c>
    </row>
    <row r="22" spans="1:16" ht="30" customHeight="1" x14ac:dyDescent="0.25">
      <c r="A22" s="53" t="str">
        <f>'Planilha Orçamentária'!C189</f>
        <v xml:space="preserve">QUADRA </v>
      </c>
      <c r="B22" s="43">
        <f t="shared" si="4"/>
        <v>9.4797688500362076E-2</v>
      </c>
      <c r="C22" s="44">
        <f>'Planilha Orçamentária'!I189</f>
        <v>447568.84999999992</v>
      </c>
      <c r="D22" s="46"/>
      <c r="E22" s="46"/>
      <c r="F22" s="46">
        <f>$C$22/10</f>
        <v>44756.884999999995</v>
      </c>
      <c r="G22" s="46">
        <f t="shared" ref="G22:O22" si="5">$C$22/10</f>
        <v>44756.884999999995</v>
      </c>
      <c r="H22" s="46">
        <f t="shared" si="5"/>
        <v>44756.884999999995</v>
      </c>
      <c r="I22" s="46">
        <f t="shared" si="5"/>
        <v>44756.884999999995</v>
      </c>
      <c r="J22" s="46">
        <f t="shared" si="5"/>
        <v>44756.884999999995</v>
      </c>
      <c r="K22" s="46">
        <f t="shared" si="5"/>
        <v>44756.884999999995</v>
      </c>
      <c r="L22" s="46">
        <f t="shared" si="5"/>
        <v>44756.884999999995</v>
      </c>
      <c r="M22" s="46">
        <f t="shared" si="5"/>
        <v>44756.884999999995</v>
      </c>
      <c r="N22" s="46">
        <f t="shared" si="5"/>
        <v>44756.884999999995</v>
      </c>
      <c r="O22" s="46">
        <f t="shared" si="5"/>
        <v>44756.884999999995</v>
      </c>
      <c r="P22" s="54">
        <f t="shared" si="1"/>
        <v>447568.85000000003</v>
      </c>
    </row>
    <row r="23" spans="1:16" ht="30" customHeight="1" x14ac:dyDescent="0.25">
      <c r="A23" s="53" t="str">
        <f>'Planilha Orçamentária'!C215</f>
        <v>PROJETOS COMPLEMENTARES</v>
      </c>
      <c r="B23" s="43">
        <f t="shared" si="4"/>
        <v>4.9580777818420026E-4</v>
      </c>
      <c r="C23" s="44">
        <f>'Planilha Orçamentária'!I215</f>
        <v>2340.86</v>
      </c>
      <c r="D23" s="46">
        <f>1*C23</f>
        <v>2340.86</v>
      </c>
      <c r="E23" s="45"/>
      <c r="F23" s="45"/>
      <c r="G23" s="45"/>
      <c r="H23" s="46"/>
      <c r="I23" s="45"/>
      <c r="J23" s="45"/>
      <c r="K23" s="45"/>
      <c r="L23" s="46"/>
      <c r="M23" s="45"/>
      <c r="N23" s="45"/>
      <c r="O23" s="45"/>
      <c r="P23" s="54">
        <f t="shared" si="1"/>
        <v>2340.86</v>
      </c>
    </row>
    <row r="24" spans="1:16" ht="30" customHeight="1" x14ac:dyDescent="0.25">
      <c r="A24" s="53" t="str">
        <f>'Planilha Orçamentária'!C217</f>
        <v>ACESSIBILIDADE</v>
      </c>
      <c r="B24" s="43">
        <f t="shared" si="4"/>
        <v>1.0766089969115153E-3</v>
      </c>
      <c r="C24" s="44">
        <f>'Planilha Orçamentária'!I217</f>
        <v>5083</v>
      </c>
      <c r="D24" s="46"/>
      <c r="E24" s="45"/>
      <c r="F24" s="45"/>
      <c r="G24" s="45"/>
      <c r="H24" s="46"/>
      <c r="I24" s="45"/>
      <c r="J24" s="45"/>
      <c r="K24" s="45"/>
      <c r="L24" s="46"/>
      <c r="M24" s="45"/>
      <c r="N24" s="45"/>
      <c r="O24" s="45">
        <f>C24</f>
        <v>5083</v>
      </c>
      <c r="P24" s="54">
        <f t="shared" si="1"/>
        <v>5083</v>
      </c>
    </row>
    <row r="25" spans="1:16" ht="30" customHeight="1" x14ac:dyDescent="0.25">
      <c r="A25" s="53" t="str">
        <f>'Planilha Orçamentária'!C220</f>
        <v>SERVIÇOS COMPLEMENTARES</v>
      </c>
      <c r="B25" s="43">
        <f t="shared" si="4"/>
        <v>9.3423502912812987E-3</v>
      </c>
      <c r="C25" s="44">
        <f>'Planilha Orçamentária'!I220</f>
        <v>44108.09</v>
      </c>
      <c r="D25" s="46"/>
      <c r="E25" s="45"/>
      <c r="F25" s="45"/>
      <c r="G25" s="45"/>
      <c r="H25" s="46"/>
      <c r="I25" s="45"/>
      <c r="J25" s="45"/>
      <c r="K25" s="45"/>
      <c r="L25" s="46"/>
      <c r="M25" s="45"/>
      <c r="N25" s="45"/>
      <c r="O25" s="45">
        <f>C25</f>
        <v>44108.09</v>
      </c>
      <c r="P25" s="54">
        <f t="shared" si="1"/>
        <v>44108.09</v>
      </c>
    </row>
    <row r="26" spans="1:16" ht="30" customHeight="1" x14ac:dyDescent="0.25">
      <c r="A26" s="55" t="s">
        <v>9</v>
      </c>
      <c r="B26" s="38">
        <f>SUM(B3:B25)</f>
        <v>1.0000000000000002</v>
      </c>
      <c r="C26" s="9">
        <f>SUM(C3:C25)</f>
        <v>4721305.5199999996</v>
      </c>
      <c r="D26" s="9">
        <f t="shared" ref="D26:O26" si="6">SUM(D3:D25)</f>
        <v>149405.174</v>
      </c>
      <c r="E26" s="9">
        <f t="shared" si="6"/>
        <v>365800.89799999999</v>
      </c>
      <c r="F26" s="9">
        <f t="shared" si="6"/>
        <v>488114.59500000015</v>
      </c>
      <c r="G26" s="9">
        <f t="shared" si="6"/>
        <v>461586.38500000013</v>
      </c>
      <c r="H26" s="9">
        <f t="shared" si="6"/>
        <v>592399.09250000003</v>
      </c>
      <c r="I26" s="9">
        <f t="shared" si="6"/>
        <v>612889.42249999999</v>
      </c>
      <c r="J26" s="9">
        <f t="shared" si="6"/>
        <v>692137.38499999989</v>
      </c>
      <c r="K26" s="9">
        <f t="shared" si="6"/>
        <v>343664.26000000007</v>
      </c>
      <c r="L26" s="9">
        <f t="shared" si="6"/>
        <v>441353.005</v>
      </c>
      <c r="M26" s="9">
        <f t="shared" si="6"/>
        <v>342697.47499999998</v>
      </c>
      <c r="N26" s="9">
        <f t="shared" si="6"/>
        <v>44756.884999999995</v>
      </c>
      <c r="O26" s="9">
        <f t="shared" si="6"/>
        <v>186500.943</v>
      </c>
      <c r="P26" s="112">
        <f>SUM(P3:P25)</f>
        <v>4721305.5199999996</v>
      </c>
    </row>
    <row r="27" spans="1:16" ht="30" customHeight="1" x14ac:dyDescent="0.25">
      <c r="A27" s="56" t="s">
        <v>10</v>
      </c>
      <c r="B27" s="47"/>
      <c r="C27" s="5"/>
      <c r="D27" s="48">
        <f>D26/$C$26</f>
        <v>3.1644885798451781E-2</v>
      </c>
      <c r="E27" s="48">
        <f t="shared" ref="E27:O27" si="7">E26/$C$26</f>
        <v>7.7478760154458301E-2</v>
      </c>
      <c r="F27" s="48">
        <f t="shared" si="7"/>
        <v>0.10338551337808789</v>
      </c>
      <c r="G27" s="48">
        <f t="shared" si="7"/>
        <v>9.7766684033614534E-2</v>
      </c>
      <c r="H27" s="48">
        <f t="shared" si="7"/>
        <v>0.12547357716854554</v>
      </c>
      <c r="I27" s="48">
        <f t="shared" si="7"/>
        <v>0.12981354837210365</v>
      </c>
      <c r="J27" s="48">
        <f t="shared" si="7"/>
        <v>0.14659872826870141</v>
      </c>
      <c r="K27" s="48">
        <f t="shared" si="7"/>
        <v>7.2790091330501336E-2</v>
      </c>
      <c r="L27" s="48">
        <f t="shared" si="7"/>
        <v>9.3481136336205597E-2</v>
      </c>
      <c r="M27" s="48">
        <f t="shared" si="7"/>
        <v>7.2585320638178061E-2</v>
      </c>
      <c r="N27" s="48">
        <f t="shared" si="7"/>
        <v>9.4797688500362076E-3</v>
      </c>
      <c r="O27" s="48">
        <f t="shared" si="7"/>
        <v>3.9501985671115819E-2</v>
      </c>
      <c r="P27" s="57">
        <f>SUM(D27:O27)</f>
        <v>1</v>
      </c>
    </row>
    <row r="28" spans="1:16" ht="30" customHeight="1" x14ac:dyDescent="0.25">
      <c r="A28" s="58" t="s">
        <v>11</v>
      </c>
      <c r="B28" s="47"/>
      <c r="C28" s="5"/>
      <c r="D28" s="47">
        <f>D27</f>
        <v>3.1644885798451781E-2</v>
      </c>
      <c r="E28" s="47">
        <f>D28+E27</f>
        <v>0.10912364595291008</v>
      </c>
      <c r="F28" s="47">
        <f t="shared" ref="F28:O28" si="8">E28+F27</f>
        <v>0.21250915933099795</v>
      </c>
      <c r="G28" s="47">
        <f t="shared" si="8"/>
        <v>0.3102758433646125</v>
      </c>
      <c r="H28" s="47">
        <f t="shared" si="8"/>
        <v>0.43574942053315802</v>
      </c>
      <c r="I28" s="47">
        <f t="shared" si="8"/>
        <v>0.5655629689052617</v>
      </c>
      <c r="J28" s="47">
        <f t="shared" si="8"/>
        <v>0.71216169717396305</v>
      </c>
      <c r="K28" s="47">
        <f t="shared" si="8"/>
        <v>0.78495178850446434</v>
      </c>
      <c r="L28" s="47">
        <f t="shared" si="8"/>
        <v>0.87843292484066993</v>
      </c>
      <c r="M28" s="47">
        <f t="shared" si="8"/>
        <v>0.95101824547884795</v>
      </c>
      <c r="N28" s="47">
        <f t="shared" si="8"/>
        <v>0.96049801432888415</v>
      </c>
      <c r="O28" s="47">
        <f t="shared" si="8"/>
        <v>1</v>
      </c>
      <c r="P28" s="59">
        <f>O28</f>
        <v>1</v>
      </c>
    </row>
    <row r="29" spans="1:16" ht="30" customHeight="1" x14ac:dyDescent="0.25">
      <c r="A29" s="85" t="s">
        <v>20</v>
      </c>
      <c r="B29" s="86"/>
      <c r="C29" s="87"/>
      <c r="D29" s="88">
        <f>D26</f>
        <v>149405.174</v>
      </c>
      <c r="E29" s="88">
        <f>D29+E26</f>
        <v>515206.07199999999</v>
      </c>
      <c r="F29" s="88">
        <f t="shared" ref="F29:O29" si="9">E29+F26</f>
        <v>1003320.6670000001</v>
      </c>
      <c r="G29" s="88">
        <f t="shared" si="9"/>
        <v>1464907.0520000001</v>
      </c>
      <c r="H29" s="88">
        <f t="shared" si="9"/>
        <v>2057306.1445000002</v>
      </c>
      <c r="I29" s="88">
        <f t="shared" si="9"/>
        <v>2670195.5670000003</v>
      </c>
      <c r="J29" s="88">
        <f t="shared" si="9"/>
        <v>3362332.952</v>
      </c>
      <c r="K29" s="88">
        <f t="shared" si="9"/>
        <v>3705997.2120000003</v>
      </c>
      <c r="L29" s="88">
        <f t="shared" si="9"/>
        <v>4147350.2170000002</v>
      </c>
      <c r="M29" s="88">
        <f t="shared" si="9"/>
        <v>4490047.6919999998</v>
      </c>
      <c r="N29" s="88">
        <f t="shared" si="9"/>
        <v>4534804.5769999996</v>
      </c>
      <c r="O29" s="88">
        <f t="shared" si="9"/>
        <v>4721305.5199999996</v>
      </c>
      <c r="P29" s="89">
        <f>O29</f>
        <v>4721305.5199999996</v>
      </c>
    </row>
    <row r="30" spans="1:16" ht="30" customHeight="1" x14ac:dyDescent="0.25">
      <c r="A30" s="195"/>
      <c r="B30" s="196"/>
      <c r="C30" s="196"/>
      <c r="D30" s="196"/>
      <c r="E30" s="196"/>
      <c r="F30" s="196"/>
      <c r="G30" s="196"/>
      <c r="H30" s="90"/>
      <c r="I30" s="90"/>
      <c r="J30" s="90"/>
      <c r="K30" s="90"/>
      <c r="L30" s="90"/>
      <c r="M30" s="90"/>
      <c r="N30" s="90"/>
      <c r="O30" s="90"/>
      <c r="P30" s="113"/>
    </row>
    <row r="31" spans="1:16" ht="30" customHeight="1" x14ac:dyDescent="0.25">
      <c r="A31" s="197"/>
      <c r="B31" s="198"/>
      <c r="C31" s="198"/>
      <c r="D31" s="198"/>
      <c r="E31" s="198"/>
      <c r="F31" s="198"/>
      <c r="G31" s="198"/>
      <c r="H31" s="114"/>
      <c r="I31" s="114"/>
      <c r="J31" s="114"/>
      <c r="K31" s="114"/>
      <c r="L31" s="114"/>
      <c r="M31" s="114"/>
      <c r="N31" s="114"/>
      <c r="O31" s="114"/>
      <c r="P31" s="115"/>
    </row>
    <row r="32" spans="1:16" ht="183.75" customHeight="1" x14ac:dyDescent="0.25">
      <c r="A32" s="199"/>
      <c r="B32" s="200"/>
      <c r="C32" s="200"/>
      <c r="D32" s="200"/>
      <c r="E32" s="200"/>
      <c r="F32" s="200"/>
      <c r="G32" s="200"/>
      <c r="H32" s="116"/>
      <c r="I32" s="116"/>
      <c r="J32" s="116"/>
      <c r="K32" s="116"/>
      <c r="L32" s="116"/>
      <c r="M32" s="116"/>
      <c r="N32" s="116"/>
      <c r="O32" s="116"/>
      <c r="P32" s="117"/>
    </row>
    <row r="33" spans="1:16" ht="15" customHeight="1" x14ac:dyDescent="0.35">
      <c r="A33" s="201" t="str">
        <f>'Planilha Orçamentária'!A224</f>
        <v>______________________________________________________</v>
      </c>
      <c r="B33" s="202"/>
      <c r="C33" s="202"/>
      <c r="D33" s="202"/>
      <c r="E33" s="202"/>
      <c r="F33" s="202"/>
      <c r="G33" s="202"/>
      <c r="H33" s="205" t="str">
        <f>'Planilha Orçamentária'!D224</f>
        <v>______________________________________________________</v>
      </c>
      <c r="I33" s="205"/>
      <c r="J33" s="205"/>
      <c r="K33" s="205"/>
      <c r="L33" s="205"/>
      <c r="M33" s="205"/>
      <c r="N33" s="205"/>
      <c r="O33" s="116"/>
      <c r="P33" s="117"/>
    </row>
    <row r="34" spans="1:16" ht="15.75" customHeight="1" x14ac:dyDescent="0.35">
      <c r="A34" s="201" t="str">
        <f>'Planilha Orçamentária'!A226</f>
        <v>Weslei Júnior Guedes de Jesus</v>
      </c>
      <c r="B34" s="202"/>
      <c r="C34" s="202"/>
      <c r="D34" s="202"/>
      <c r="E34" s="202"/>
      <c r="F34" s="202"/>
      <c r="G34" s="202"/>
      <c r="H34" s="205" t="str">
        <f>'Planilha Orçamentária'!D226</f>
        <v>Helisson Fidélis Porto de Moura</v>
      </c>
      <c r="I34" s="205"/>
      <c r="J34" s="205"/>
      <c r="K34" s="205"/>
      <c r="L34" s="205"/>
      <c r="M34" s="205"/>
      <c r="N34" s="205"/>
      <c r="O34" s="116"/>
      <c r="P34" s="117"/>
    </row>
    <row r="35" spans="1:16" ht="21.75" thickBot="1" x14ac:dyDescent="0.4">
      <c r="A35" s="203" t="str">
        <f>'Planilha Orçamentária'!A227</f>
        <v>Secretário Municipal de Educação de Januária - Mg</v>
      </c>
      <c r="B35" s="204"/>
      <c r="C35" s="204"/>
      <c r="D35" s="204"/>
      <c r="E35" s="204"/>
      <c r="F35" s="204"/>
      <c r="G35" s="204"/>
      <c r="H35" s="206" t="str">
        <f>'Planilha Orçamentária'!D227</f>
        <v>Engenheiro Civil - Secretário Municipal de Educação de Januária - Mg</v>
      </c>
      <c r="I35" s="206"/>
      <c r="J35" s="206"/>
      <c r="K35" s="206"/>
      <c r="L35" s="206"/>
      <c r="M35" s="206"/>
      <c r="N35" s="206"/>
      <c r="O35" s="118"/>
      <c r="P35" s="119"/>
    </row>
    <row r="39" spans="1:16" ht="14.45" customHeight="1" x14ac:dyDescent="0.25">
      <c r="B39" s="63"/>
      <c r="C39" s="64"/>
      <c r="D39" s="64"/>
      <c r="E39" s="64"/>
    </row>
    <row r="40" spans="1:16" ht="14.45" customHeight="1" x14ac:dyDescent="0.25">
      <c r="B40" s="64"/>
      <c r="C40" s="64"/>
      <c r="D40" s="64"/>
      <c r="E40" s="64"/>
    </row>
    <row r="41" spans="1:16" ht="14.45" customHeight="1" x14ac:dyDescent="0.25">
      <c r="B41" s="64"/>
      <c r="C41" s="64"/>
      <c r="D41" s="64"/>
      <c r="E41" s="64"/>
    </row>
    <row r="42" spans="1:16" ht="14.45" customHeight="1" x14ac:dyDescent="0.25">
      <c r="B42" s="64"/>
      <c r="C42" s="64"/>
      <c r="D42" s="64"/>
      <c r="E42" s="64"/>
    </row>
    <row r="43" spans="1:16" ht="14.45" customHeight="1" x14ac:dyDescent="0.25">
      <c r="B43" s="64"/>
      <c r="C43" s="64"/>
      <c r="D43" s="64"/>
      <c r="E43" s="64"/>
    </row>
    <row r="44" spans="1:16" ht="14.45" customHeight="1" x14ac:dyDescent="0.25">
      <c r="B44" s="64"/>
      <c r="C44" s="64"/>
      <c r="D44" s="64"/>
      <c r="E44" s="64"/>
    </row>
    <row r="45" spans="1:16" ht="14.45" customHeight="1" x14ac:dyDescent="0.25">
      <c r="B45" s="64"/>
      <c r="C45" s="64"/>
      <c r="D45" s="64"/>
      <c r="E45" s="64"/>
    </row>
    <row r="46" spans="1:16" ht="14.45" customHeight="1" x14ac:dyDescent="0.25">
      <c r="B46" s="64"/>
      <c r="C46" s="64"/>
      <c r="D46" s="64"/>
      <c r="E46" s="64"/>
    </row>
    <row r="47" spans="1:16" ht="14.45" customHeight="1" x14ac:dyDescent="0.25">
      <c r="B47" s="64"/>
      <c r="C47" s="64"/>
      <c r="D47" s="64"/>
      <c r="E47" s="64"/>
    </row>
    <row r="48" spans="1:16" ht="14.45" customHeight="1" x14ac:dyDescent="0.25">
      <c r="B48" s="64"/>
      <c r="C48" s="64"/>
      <c r="D48" s="64"/>
      <c r="E48" s="64"/>
    </row>
  </sheetData>
  <mergeCells count="10">
    <mergeCell ref="A35:G35"/>
    <mergeCell ref="A34:G34"/>
    <mergeCell ref="H33:N33"/>
    <mergeCell ref="H34:N34"/>
    <mergeCell ref="H35:N35"/>
    <mergeCell ref="A1:P1"/>
    <mergeCell ref="A30:G30"/>
    <mergeCell ref="A31:G31"/>
    <mergeCell ref="A32:G32"/>
    <mergeCell ref="A33:G33"/>
  </mergeCells>
  <pageMargins left="0.39370078740157483" right="0.39370078740157483" top="0.31496062992125984" bottom="0.55118110236220474" header="0.31496062992125984" footer="0.31496062992125984"/>
  <pageSetup paperSize="9" scale="42"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P37"/>
  <sheetViews>
    <sheetView view="pageBreakPreview" zoomScale="80" zoomScaleNormal="100" zoomScaleSheetLayoutView="80" workbookViewId="0"/>
  </sheetViews>
  <sheetFormatPr defaultRowHeight="15" x14ac:dyDescent="0.25"/>
  <cols>
    <col min="2" max="2" width="92" customWidth="1"/>
    <col min="3" max="3" width="15.140625" style="39" customWidth="1"/>
    <col min="4" max="4" width="19.28515625" customWidth="1"/>
  </cols>
  <sheetData>
    <row r="1" spans="2:4" ht="99" customHeight="1" x14ac:dyDescent="0.25">
      <c r="B1" s="210" t="s">
        <v>186</v>
      </c>
      <c r="C1" s="211"/>
      <c r="D1" s="212"/>
    </row>
    <row r="2" spans="2:4" ht="19.5" customHeight="1" x14ac:dyDescent="0.25">
      <c r="B2" s="98" t="s">
        <v>25</v>
      </c>
      <c r="C2" s="37" t="s">
        <v>35</v>
      </c>
      <c r="D2" s="99" t="s">
        <v>36</v>
      </c>
    </row>
    <row r="3" spans="2:4" x14ac:dyDescent="0.25">
      <c r="B3" s="100" t="s">
        <v>26</v>
      </c>
      <c r="C3" s="40" t="s">
        <v>37</v>
      </c>
      <c r="D3" s="110">
        <v>5.5E-2</v>
      </c>
    </row>
    <row r="4" spans="2:4" x14ac:dyDescent="0.25">
      <c r="B4" s="100" t="s">
        <v>27</v>
      </c>
      <c r="C4" s="40" t="s">
        <v>38</v>
      </c>
      <c r="D4" s="110">
        <v>0.01</v>
      </c>
    </row>
    <row r="5" spans="2:4" x14ac:dyDescent="0.25">
      <c r="B5" s="100" t="s">
        <v>28</v>
      </c>
      <c r="C5" s="40" t="s">
        <v>39</v>
      </c>
      <c r="D5" s="110">
        <v>1.2699999999999999E-2</v>
      </c>
    </row>
    <row r="6" spans="2:4" x14ac:dyDescent="0.25">
      <c r="B6" s="100" t="s">
        <v>29</v>
      </c>
      <c r="C6" s="40" t="s">
        <v>40</v>
      </c>
      <c r="D6" s="110">
        <v>1.0500000000000001E-2</v>
      </c>
    </row>
    <row r="7" spans="2:4" x14ac:dyDescent="0.25">
      <c r="B7" s="100" t="s">
        <v>30</v>
      </c>
      <c r="C7" s="40" t="s">
        <v>41</v>
      </c>
      <c r="D7" s="110">
        <v>7.4999999999999997E-2</v>
      </c>
    </row>
    <row r="8" spans="2:4" x14ac:dyDescent="0.25">
      <c r="B8" s="100" t="s">
        <v>31</v>
      </c>
      <c r="C8" s="40" t="s">
        <v>42</v>
      </c>
      <c r="D8" s="110">
        <v>3.6499999999999998E-2</v>
      </c>
    </row>
    <row r="9" spans="2:4" x14ac:dyDescent="0.25">
      <c r="B9" s="100" t="s">
        <v>32</v>
      </c>
      <c r="C9" s="40" t="s">
        <v>43</v>
      </c>
      <c r="D9" s="110">
        <v>1.4999999999999999E-2</v>
      </c>
    </row>
    <row r="10" spans="2:4" x14ac:dyDescent="0.25">
      <c r="B10" s="100" t="s">
        <v>33</v>
      </c>
      <c r="C10" s="40" t="s">
        <v>44</v>
      </c>
      <c r="D10" s="110">
        <v>2.7E-2</v>
      </c>
    </row>
    <row r="11" spans="2:4" x14ac:dyDescent="0.25">
      <c r="B11" s="101" t="s">
        <v>34</v>
      </c>
      <c r="C11" s="41" t="s">
        <v>45</v>
      </c>
      <c r="D11" s="102">
        <f>ROUND((((1+D3+D4+D5)*(1+D6)*(1+D7))/(1-D8-D9-D10))-1,4)</f>
        <v>0.27039999999999997</v>
      </c>
    </row>
    <row r="12" spans="2:4" x14ac:dyDescent="0.25">
      <c r="B12" s="103"/>
      <c r="D12" s="104"/>
    </row>
    <row r="13" spans="2:4" x14ac:dyDescent="0.25">
      <c r="B13" s="103"/>
      <c r="D13" s="104"/>
    </row>
    <row r="14" spans="2:4" x14ac:dyDescent="0.25">
      <c r="B14" s="105" t="s">
        <v>46</v>
      </c>
      <c r="C14" s="41">
        <v>0.5</v>
      </c>
      <c r="D14" s="104"/>
    </row>
    <row r="15" spans="2:4" x14ac:dyDescent="0.25">
      <c r="B15" s="105" t="s">
        <v>47</v>
      </c>
      <c r="C15" s="41">
        <v>0.03</v>
      </c>
      <c r="D15" s="104"/>
    </row>
    <row r="16" spans="2:4" x14ac:dyDescent="0.25">
      <c r="B16" s="103"/>
      <c r="D16" s="104"/>
    </row>
    <row r="17" spans="2:16" x14ac:dyDescent="0.25">
      <c r="B17" s="106" t="s">
        <v>48</v>
      </c>
      <c r="D17" s="104"/>
    </row>
    <row r="18" spans="2:16" x14ac:dyDescent="0.25">
      <c r="B18" s="107" t="s">
        <v>49</v>
      </c>
      <c r="D18" s="104"/>
    </row>
    <row r="19" spans="2:16" x14ac:dyDescent="0.25">
      <c r="B19" s="103"/>
      <c r="D19" s="104"/>
    </row>
    <row r="20" spans="2:16" x14ac:dyDescent="0.25">
      <c r="B20" s="213"/>
      <c r="C20" s="214"/>
      <c r="D20" s="215"/>
    </row>
    <row r="21" spans="2:16" ht="57.75" customHeight="1" x14ac:dyDescent="0.25">
      <c r="B21" s="216"/>
      <c r="C21" s="217"/>
      <c r="D21" s="218"/>
      <c r="E21" s="91"/>
      <c r="F21" s="91"/>
      <c r="P21" s="3"/>
    </row>
    <row r="22" spans="2:16" x14ac:dyDescent="0.25">
      <c r="B22" s="219"/>
      <c r="C22" s="220"/>
      <c r="D22" s="221"/>
      <c r="P22" s="3"/>
    </row>
    <row r="23" spans="2:16" x14ac:dyDescent="0.25">
      <c r="B23" s="219" t="str">
        <f>'Planilha Orçamentária'!A224</f>
        <v>______________________________________________________</v>
      </c>
      <c r="C23" s="220"/>
      <c r="D23" s="221"/>
      <c r="P23" s="3"/>
    </row>
    <row r="24" spans="2:16" x14ac:dyDescent="0.25">
      <c r="B24" s="219" t="str">
        <f>'Planilha Orçamentária'!A226</f>
        <v>Weslei Júnior Guedes de Jesus</v>
      </c>
      <c r="C24" s="220"/>
      <c r="D24" s="221"/>
      <c r="P24" s="3"/>
    </row>
    <row r="25" spans="2:16" x14ac:dyDescent="0.25">
      <c r="B25" s="219" t="str">
        <f>'Planilha Orçamentária'!A227</f>
        <v>Secretário Municipal de Educação de Januária - Mg</v>
      </c>
      <c r="C25" s="220"/>
      <c r="D25" s="221"/>
      <c r="P25" s="3"/>
    </row>
    <row r="26" spans="2:16" ht="15" customHeight="1" x14ac:dyDescent="0.25">
      <c r="B26" s="222"/>
      <c r="C26" s="223"/>
      <c r="D26" s="224"/>
      <c r="E26" s="64"/>
      <c r="P26" s="3"/>
    </row>
    <row r="27" spans="2:16" ht="15" customHeight="1" x14ac:dyDescent="0.25">
      <c r="B27" s="225"/>
      <c r="C27" s="226"/>
      <c r="D27" s="227"/>
      <c r="E27" s="64"/>
      <c r="P27" s="3"/>
    </row>
    <row r="28" spans="2:16" ht="15" customHeight="1" x14ac:dyDescent="0.25">
      <c r="B28" s="225"/>
      <c r="C28" s="226"/>
      <c r="D28" s="227"/>
      <c r="E28" s="64"/>
      <c r="P28" s="3"/>
    </row>
    <row r="29" spans="2:16" ht="28.5" customHeight="1" x14ac:dyDescent="0.25">
      <c r="B29" s="225"/>
      <c r="C29" s="226"/>
      <c r="D29" s="227"/>
      <c r="E29" s="64"/>
      <c r="P29" s="3"/>
    </row>
    <row r="30" spans="2:16" ht="32.25" customHeight="1" x14ac:dyDescent="0.25">
      <c r="B30" s="225"/>
      <c r="C30" s="226"/>
      <c r="D30" s="227"/>
      <c r="E30" s="64"/>
      <c r="P30" s="3"/>
    </row>
    <row r="31" spans="2:16" ht="20.25" customHeight="1" x14ac:dyDescent="0.25">
      <c r="B31" s="228" t="s">
        <v>364</v>
      </c>
      <c r="C31" s="226"/>
      <c r="D31" s="227"/>
      <c r="E31" s="64"/>
      <c r="P31" s="3"/>
    </row>
    <row r="32" spans="2:16" ht="19.5" customHeight="1" x14ac:dyDescent="0.25">
      <c r="B32" s="228" t="str">
        <f>'Planilha Orçamentária'!D226</f>
        <v>Helisson Fidélis Porto de Moura</v>
      </c>
      <c r="C32" s="226"/>
      <c r="D32" s="227"/>
      <c r="E32" s="64"/>
      <c r="P32" s="3"/>
    </row>
    <row r="33" spans="2:16" ht="24.75" customHeight="1" thickBot="1" x14ac:dyDescent="0.3">
      <c r="B33" s="207" t="str">
        <f>'Planilha Orçamentária'!D227</f>
        <v>Engenheiro Civil - Secretário Municipal de Educação de Januária - Mg</v>
      </c>
      <c r="C33" s="208"/>
      <c r="D33" s="209"/>
      <c r="E33" s="64"/>
      <c r="P33" s="3"/>
    </row>
    <row r="34" spans="2:16" ht="15" customHeight="1" x14ac:dyDescent="0.25">
      <c r="B34" s="64"/>
      <c r="C34" s="64"/>
      <c r="D34" s="64"/>
      <c r="E34" s="64"/>
      <c r="P34" s="3"/>
    </row>
    <row r="35" spans="2:16" ht="15" customHeight="1" x14ac:dyDescent="0.25">
      <c r="B35" s="64"/>
      <c r="C35" s="64"/>
      <c r="D35" s="64"/>
      <c r="E35" s="64"/>
      <c r="P35" s="3"/>
    </row>
    <row r="36" spans="2:16" x14ac:dyDescent="0.25">
      <c r="B36" s="39"/>
      <c r="C36"/>
      <c r="P36" s="3"/>
    </row>
    <row r="37" spans="2:16" x14ac:dyDescent="0.25">
      <c r="B37" s="39"/>
      <c r="C37"/>
      <c r="P37" s="3"/>
    </row>
  </sheetData>
  <mergeCells count="15">
    <mergeCell ref="B33:D33"/>
    <mergeCell ref="B1:D1"/>
    <mergeCell ref="B20:D20"/>
    <mergeCell ref="B21:D21"/>
    <mergeCell ref="B22:D22"/>
    <mergeCell ref="B23:D23"/>
    <mergeCell ref="B24:D24"/>
    <mergeCell ref="B25:D25"/>
    <mergeCell ref="B26:D26"/>
    <mergeCell ref="B27:D27"/>
    <mergeCell ref="B28:D28"/>
    <mergeCell ref="B29:D29"/>
    <mergeCell ref="B30:D30"/>
    <mergeCell ref="B31:D31"/>
    <mergeCell ref="B32:D32"/>
  </mergeCells>
  <pageMargins left="0.7" right="0.7" top="0.75" bottom="0.75" header="0.3" footer="0.3"/>
  <pageSetup paperSize="9" scale="6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4</vt:i4>
      </vt:variant>
    </vt:vector>
  </HeadingPairs>
  <TitlesOfParts>
    <vt:vector size="7" baseType="lpstr">
      <vt:lpstr>Planilha Orçamentária</vt:lpstr>
      <vt:lpstr>Cronograma Fisico Financeiro</vt:lpstr>
      <vt:lpstr>Composição BDI</vt:lpstr>
      <vt:lpstr>'Composição BDI'!Area_de_impressao</vt:lpstr>
      <vt:lpstr>'Cronograma Fisico Financeiro'!Area_de_impressao</vt:lpstr>
      <vt:lpstr>'Planilha Orçamentária'!Area_de_impressao</vt:lpstr>
      <vt:lpstr>'Planilha Orçamentária'!Titulos_de_impressao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Helisson</cp:lastModifiedBy>
  <cp:lastPrinted>2026-03-24T12:49:41Z</cp:lastPrinted>
  <dcterms:created xsi:type="dcterms:W3CDTF">2013-10-16T11:57:03Z</dcterms:created>
  <dcterms:modified xsi:type="dcterms:W3CDTF">2026-03-24T13:20:15Z</dcterms:modified>
</cp:coreProperties>
</file>