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0"/>
  <workbookPr/>
  <mc:AlternateContent xmlns:mc="http://schemas.openxmlformats.org/markup-compatibility/2006">
    <mc:Choice Requires="x15">
      <x15ac:absPath xmlns:x15ac="http://schemas.microsoft.com/office/spreadsheetml/2010/11/ac" url="D:\working\waccache\CP1PEPF00001B6C\EXCELCNV\0303c7e6-9d50-4cef-a3f4-91cdb436544d\"/>
    </mc:Choice>
  </mc:AlternateContent>
  <xr:revisionPtr revIDLastSave="0" documentId="8_{32847FB1-9BA6-49E5-B599-E858867ADCF8}" xr6:coauthVersionLast="47" xr6:coauthVersionMax="47" xr10:uidLastSave="{00000000-0000-0000-0000-000000000000}"/>
  <bookViews>
    <workbookView xWindow="-60" yWindow="-60" windowWidth="15480" windowHeight="11640" tabRatio="875" firstSheet="3" activeTab="3" xr2:uid="{651EA46D-38EE-4377-B06A-FC91446F8DA9}"/>
  </bookViews>
  <sheets>
    <sheet name="QUANT-SERV-DRE-R AZUL" sheetId="58" state="hidden" r:id="rId1"/>
    <sheet name="QUANT-MAT-DRE-R AZUL" sheetId="57" state="hidden" r:id="rId2"/>
    <sheet name="RESUMO" sheetId="63" state="hidden" r:id="rId3"/>
    <sheet name="PLANILHA" sheetId="68" r:id="rId4"/>
    <sheet name="CPUs" sheetId="72" r:id="rId5"/>
    <sheet name="QUANT-PAV-R AZUL" sheetId="59" state="hidden" r:id="rId6"/>
    <sheet name="CBUQ_MEMO_CBUQ_FRD" sheetId="38" state="hidden" r:id="rId7"/>
    <sheet name="MEMO RESUMO DRENAGEM" sheetId="56" state="hidden" r:id="rId8"/>
    <sheet name="CRONOGRAMA" sheetId="70" r:id="rId9"/>
    <sheet name="ENCARGOS SOCIAIS" sheetId="62" r:id="rId10"/>
    <sheet name="BDI" sheetId="61" r:id="rId11"/>
    <sheet name="MEMÓRIA DE CÁLCULO" sheetId="67" r:id="rId12"/>
    <sheet name="CURVA ABC INSUMOS" sheetId="73" r:id="rId13"/>
    <sheet name="CURVA ABC SERVIÇOS" sheetId="74" r:id="rId14"/>
    <sheet name="COTAÇÃO" sheetId="71" r:id="rId15"/>
    <sheet name="DADOS" sheetId="69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\0" localSheetId="9">#REF!</definedName>
    <definedName name="\0" localSheetId="2">#REF!</definedName>
    <definedName name="\0">#REF!</definedName>
    <definedName name="\c" localSheetId="9">'[1]Bm 8'!#REF!</definedName>
    <definedName name="\c" localSheetId="2">'[1]Bm 8'!#REF!</definedName>
    <definedName name="\c">'[1]Bm 8'!#REF!</definedName>
    <definedName name="\d" localSheetId="9">'[1]Bm 8'!#REF!</definedName>
    <definedName name="\d" localSheetId="2">'[1]Bm 8'!#REF!</definedName>
    <definedName name="\d">'[1]Bm 8'!#REF!</definedName>
    <definedName name="\f">#N/A</definedName>
    <definedName name="\p">#N/A</definedName>
    <definedName name="\q" localSheetId="9">'[1]Bm 8'!#REF!</definedName>
    <definedName name="\q" localSheetId="2">'[1]Bm 8'!#REF!</definedName>
    <definedName name="\q">'[1]Bm 8'!#REF!</definedName>
    <definedName name="\s" localSheetId="9">'[1]Bm 8'!#REF!</definedName>
    <definedName name="\s" localSheetId="2">'[1]Bm 8'!#REF!</definedName>
    <definedName name="\s">'[1]Bm 8'!#REF!</definedName>
    <definedName name="\x" localSheetId="9">'[1]Bm 8'!#REF!</definedName>
    <definedName name="\x" localSheetId="2">'[1]Bm 8'!#REF!</definedName>
    <definedName name="\x">'[1]Bm 8'!#REF!</definedName>
    <definedName name="______TR2" localSheetId="2">#REF!</definedName>
    <definedName name="______TR2">#REF!</definedName>
    <definedName name="_____BOR1" localSheetId="2">'[1]Bm 8'!#REF!</definedName>
    <definedName name="_____BOR1">'[1]Bm 8'!#REF!</definedName>
    <definedName name="_____TR2" localSheetId="9">#REF!</definedName>
    <definedName name="_____TR2" localSheetId="2">#REF!</definedName>
    <definedName name="_____TR2">#REF!</definedName>
    <definedName name="____BOR1" localSheetId="2">'[1]Bm 8'!#REF!</definedName>
    <definedName name="____BOR1">'[1]Bm 8'!#REF!</definedName>
    <definedName name="____TR2" localSheetId="9">#REF!</definedName>
    <definedName name="____TR2" localSheetId="2">#REF!</definedName>
    <definedName name="____TR2">#REF!</definedName>
    <definedName name="___BOR1" localSheetId="2">'[1]Bm 8'!#REF!</definedName>
    <definedName name="___BOR1">'[1]Bm 8'!#REF!</definedName>
    <definedName name="___MAT1" localSheetId="2">#REF!</definedName>
    <definedName name="___MAT1">#REF!</definedName>
    <definedName name="___TR2" localSheetId="9">#REF!</definedName>
    <definedName name="___TR2" localSheetId="2">#REF!</definedName>
    <definedName name="___TR2">#REF!</definedName>
    <definedName name="__123Graph_A" localSheetId="2" hidden="1">#REF!</definedName>
    <definedName name="__123Graph_A" hidden="1">#REF!</definedName>
    <definedName name="__123Graph_B" localSheetId="2" hidden="1">#REF!</definedName>
    <definedName name="__123Graph_B" hidden="1">#REF!</definedName>
    <definedName name="__123Graph_C" localSheetId="2" hidden="1">#REF!</definedName>
    <definedName name="__123Graph_C" hidden="1">#REF!</definedName>
    <definedName name="__123Graph_D" hidden="1">'[2]Etapa Única'!$C$125:$C$134</definedName>
    <definedName name="__123Graph_E" hidden="1">'[2]Etapa Única'!$E$125:$E$134</definedName>
    <definedName name="__123Graph_X" localSheetId="2" hidden="1">#REF!</definedName>
    <definedName name="__123Graph_X" hidden="1">#REF!</definedName>
    <definedName name="__BOR1" localSheetId="2">'[1]Bm 8'!#REF!</definedName>
    <definedName name="__BOR1">'[1]Bm 8'!#REF!</definedName>
    <definedName name="__MAT1" localSheetId="2">#REF!</definedName>
    <definedName name="__MAT1">#REF!</definedName>
    <definedName name="__TR2" localSheetId="9">#REF!</definedName>
    <definedName name="__TR2" localSheetId="2">#REF!</definedName>
    <definedName name="__TR2">#REF!</definedName>
    <definedName name="__wal1" localSheetId="2">#REF!</definedName>
    <definedName name="__wal1">#REF!</definedName>
    <definedName name="__wal10" localSheetId="2">#REF!</definedName>
    <definedName name="__wal10">#REF!</definedName>
    <definedName name="__wal11" localSheetId="2">#REF!</definedName>
    <definedName name="__wal11">#REF!</definedName>
    <definedName name="__wal12" localSheetId="2">#REF!</definedName>
    <definedName name="__wal12">#REF!</definedName>
    <definedName name="__wal13" localSheetId="2">#REF!</definedName>
    <definedName name="__wal13">#REF!</definedName>
    <definedName name="__wal14" localSheetId="2">#REF!</definedName>
    <definedName name="__wal14">#REF!</definedName>
    <definedName name="__wal15" localSheetId="2">#REF!</definedName>
    <definedName name="__wal15">#REF!</definedName>
    <definedName name="__wal16" localSheetId="2">#REF!</definedName>
    <definedName name="__wal16">#REF!</definedName>
    <definedName name="__wal2" localSheetId="2">#REF!</definedName>
    <definedName name="__wal2">#REF!</definedName>
    <definedName name="__wal3" localSheetId="2">#REF!</definedName>
    <definedName name="__wal3">#REF!</definedName>
    <definedName name="__wal5" localSheetId="2">#REF!</definedName>
    <definedName name="__wal5">#REF!</definedName>
    <definedName name="__wal6" localSheetId="2">#REF!</definedName>
    <definedName name="__wal6">#REF!</definedName>
    <definedName name="__wal7" localSheetId="2">#REF!</definedName>
    <definedName name="__wal7">#REF!</definedName>
    <definedName name="__wal8" localSheetId="2">#REF!</definedName>
    <definedName name="__wal8">#REF!</definedName>
    <definedName name="__wal9" localSheetId="2">#REF!</definedName>
    <definedName name="__wal9">#REF!</definedName>
    <definedName name="_01_01_2005">'[3]Prazo OK'!A1,'[3]Prazo OK'!A2</definedName>
    <definedName name="_1Excel_BuiltIn_Print_Area_1_1_1_1_1" localSheetId="9">#REF!</definedName>
    <definedName name="_1Excel_BuiltIn_Print_Area_1_1_1_1_1" localSheetId="2">#REF!</definedName>
    <definedName name="_1Excel_BuiltIn_Print_Area_1_1_1_1_1">#REF!</definedName>
    <definedName name="_2Excel_BuiltIn_Print_Area_1_1_1_1_1_1" localSheetId="9">#REF!</definedName>
    <definedName name="_2Excel_BuiltIn_Print_Area_1_1_1_1_1_1" localSheetId="2">#REF!</definedName>
    <definedName name="_2Excel_BuiltIn_Print_Area_1_1_1_1_1_1">#REF!</definedName>
    <definedName name="_BD2" localSheetId="9">#REF!</definedName>
    <definedName name="_BD2" localSheetId="2">#REF!</definedName>
    <definedName name="_BD2">#REF!</definedName>
    <definedName name="_BOR1" localSheetId="2">'[1]Bm 8'!#REF!</definedName>
    <definedName name="_BOR1">'[1]Bm 8'!#REF!</definedName>
    <definedName name="_c" localSheetId="2">'[4]plan comp'!#REF!</definedName>
    <definedName name="_c">'[4]plan comp'!#REF!</definedName>
    <definedName name="_composição" localSheetId="2">#REF!</definedName>
    <definedName name="_composição">#REF!</definedName>
    <definedName name="_cpu16a21" localSheetId="2">#REF!</definedName>
    <definedName name="_cpu16a21">#REF!</definedName>
    <definedName name="_d" localSheetId="9">#REF!</definedName>
    <definedName name="_d" localSheetId="2">'[4]plan comp'!#REF!</definedName>
    <definedName name="_d">'[4]plan comp'!#REF!</definedName>
    <definedName name="_f" localSheetId="2">#REF!</definedName>
    <definedName name="_f">#REF!</definedName>
    <definedName name="_Fill" localSheetId="9" hidden="1">#REF!</definedName>
    <definedName name="_Fill" localSheetId="2" hidden="1">#REF!</definedName>
    <definedName name="_Fill" hidden="1">#REF!</definedName>
    <definedName name="_xlnm._FilterDatabase" localSheetId="4" hidden="1">CPUs!$A$9:$K$78</definedName>
    <definedName name="_xlnm._FilterDatabase" localSheetId="9">#REF!</definedName>
    <definedName name="_xlnm._FilterDatabase" localSheetId="3" hidden="1">PLANILHA!$A$7:$I$97</definedName>
    <definedName name="_xlnm._FilterDatabase" localSheetId="2">#REF!</definedName>
    <definedName name="_xlnm._FilterDatabase">#REF!</definedName>
    <definedName name="_Key1" localSheetId="9" hidden="1">#REF!</definedName>
    <definedName name="_Key1" localSheetId="2" hidden="1">#REF!</definedName>
    <definedName name="_Key1" hidden="1">#REF!</definedName>
    <definedName name="_MAT1" localSheetId="9">#REF!</definedName>
    <definedName name="_MAT1" localSheetId="2">#REF!</definedName>
    <definedName name="_MAT1">#REF!</definedName>
    <definedName name="_MM" localSheetId="2" hidden="1">#REF!</definedName>
    <definedName name="_MM" hidden="1">#REF!</definedName>
    <definedName name="_Order1" hidden="1">255</definedName>
    <definedName name="_p" localSheetId="2">#REF!</definedName>
    <definedName name="_p">#REF!</definedName>
    <definedName name="_q" localSheetId="2">'[4]plan comp'!#REF!</definedName>
    <definedName name="_q">'[4]plan comp'!#REF!</definedName>
    <definedName name="_RAN1" localSheetId="2">#REF!</definedName>
    <definedName name="_RAN1">#REF!</definedName>
    <definedName name="_s" localSheetId="2">'[4]plan comp'!#REF!</definedName>
    <definedName name="_s">'[4]plan comp'!#REF!</definedName>
    <definedName name="_Sort" localSheetId="9" hidden="1">#REF!</definedName>
    <definedName name="_Sort" localSheetId="2" hidden="1">#REF!</definedName>
    <definedName name="_Sort" hidden="1">#REF!</definedName>
    <definedName name="_TIT1" localSheetId="2">#REF!</definedName>
    <definedName name="_TIT1">#REF!</definedName>
    <definedName name="_TIT2" localSheetId="2">#REF!</definedName>
    <definedName name="_TIT2">#REF!</definedName>
    <definedName name="_TR2" localSheetId="9">#REF!</definedName>
    <definedName name="_TR2" localSheetId="2">#REF!</definedName>
    <definedName name="_TR2">#REF!</definedName>
    <definedName name="_wal1" localSheetId="9">#REF!</definedName>
    <definedName name="_wal1" localSheetId="2">#REF!</definedName>
    <definedName name="_wal1">#REF!</definedName>
    <definedName name="_wal10" localSheetId="9">#REF!</definedName>
    <definedName name="_wal10" localSheetId="2">#REF!</definedName>
    <definedName name="_wal10">#REF!</definedName>
    <definedName name="_wal11" localSheetId="9">#REF!</definedName>
    <definedName name="_wal11" localSheetId="2">#REF!</definedName>
    <definedName name="_wal11">#REF!</definedName>
    <definedName name="_wal12" localSheetId="9">#REF!</definedName>
    <definedName name="_wal12" localSheetId="2">#REF!</definedName>
    <definedName name="_wal12">#REF!</definedName>
    <definedName name="_wal13" localSheetId="9">#REF!</definedName>
    <definedName name="_wal13" localSheetId="2">#REF!</definedName>
    <definedName name="_wal13">#REF!</definedName>
    <definedName name="_wal14" localSheetId="9">#REF!</definedName>
    <definedName name="_wal14" localSheetId="2">#REF!</definedName>
    <definedName name="_wal14">#REF!</definedName>
    <definedName name="_wal15" localSheetId="9">#REF!</definedName>
    <definedName name="_wal15" localSheetId="2">#REF!</definedName>
    <definedName name="_wal15">#REF!</definedName>
    <definedName name="_wal16" localSheetId="9">#REF!</definedName>
    <definedName name="_wal16" localSheetId="2">#REF!</definedName>
    <definedName name="_wal16">#REF!</definedName>
    <definedName name="_wal2" localSheetId="9">#REF!</definedName>
    <definedName name="_wal2" localSheetId="2">#REF!</definedName>
    <definedName name="_wal2">#REF!</definedName>
    <definedName name="_wal3" localSheetId="9">#REF!</definedName>
    <definedName name="_wal3" localSheetId="2">#REF!</definedName>
    <definedName name="_wal3">#REF!</definedName>
    <definedName name="_wal5" localSheetId="9">#REF!</definedName>
    <definedName name="_wal5" localSheetId="2">#REF!</definedName>
    <definedName name="_wal5">#REF!</definedName>
    <definedName name="_wal6" localSheetId="9">#REF!</definedName>
    <definedName name="_wal6" localSheetId="2">#REF!</definedName>
    <definedName name="_wal6">#REF!</definedName>
    <definedName name="_wal7" localSheetId="9">#REF!</definedName>
    <definedName name="_wal7" localSheetId="2">#REF!</definedName>
    <definedName name="_wal7">#REF!</definedName>
    <definedName name="_wal8" localSheetId="9">#REF!</definedName>
    <definedName name="_wal8" localSheetId="2">#REF!</definedName>
    <definedName name="_wal8">#REF!</definedName>
    <definedName name="_wal9" localSheetId="9">#REF!</definedName>
    <definedName name="_wal9" localSheetId="2">#REF!</definedName>
    <definedName name="_wal9">#REF!</definedName>
    <definedName name="_x" localSheetId="2">'[4]plan comp'!#REF!</definedName>
    <definedName name="_x">'[4]plan comp'!#REF!</definedName>
    <definedName name="A" localSheetId="9" hidden="1">{#N/A,#N/A,FALSE,"Planilha";#N/A,#N/A,FALSE,"Resumo";#N/A,#N/A,FALSE,"Fisico";#N/A,#N/A,FALSE,"Financeiro";#N/A,#N/A,FALSE,"Financeiro"}</definedName>
    <definedName name="A" localSheetId="2">#REF!</definedName>
    <definedName name="A">#REF!</definedName>
    <definedName name="abc" localSheetId="9">#REF!</definedName>
    <definedName name="abc" localSheetId="2">#REF!</definedName>
    <definedName name="abc">#REF!</definedName>
    <definedName name="acha.coluna" localSheetId="2">#REF!</definedName>
    <definedName name="acha.coluna">#REF!</definedName>
    <definedName name="acha.dados" localSheetId="2">#REF!</definedName>
    <definedName name="acha.dados">#REF!</definedName>
    <definedName name="acha.linha" localSheetId="2">#REF!</definedName>
    <definedName name="acha.linha">#REF!</definedName>
    <definedName name="Acomp" localSheetId="9">#REF!</definedName>
    <definedName name="Acomp" localSheetId="2">#REF!</definedName>
    <definedName name="Acomp">#REF!</definedName>
    <definedName name="agua" localSheetId="9">#REF!</definedName>
    <definedName name="agua" localSheetId="2">#REF!</definedName>
    <definedName name="agua">#REF!</definedName>
    <definedName name="anscount" hidden="1">3</definedName>
    <definedName name="_xlnm.Print_Area" localSheetId="10">BDI!$A$1:$G$36</definedName>
    <definedName name="_xlnm.Print_Area" localSheetId="8">CRONOGRAMA!$A$1:$G$38</definedName>
    <definedName name="_xlnm.Print_Area" localSheetId="15">DADOS!$A$1:$B$16</definedName>
    <definedName name="_xlnm.Print_Area" localSheetId="9">'ENCARGOS SOCIAIS'!$A$1:$E$48</definedName>
    <definedName name="_xlnm.Print_Area" localSheetId="11">'MEMÓRIA DE CÁLCULO'!$A$1:$H$191</definedName>
    <definedName name="_xlnm.Print_Area" localSheetId="1">'QUANT-MAT-DRE-R AZUL'!$A$1:$AM$38</definedName>
    <definedName name="_xlnm.Print_Area" localSheetId="5">'QUANT-PAV-R AZUL'!$A$12:$G$120</definedName>
    <definedName name="_xlnm.Print_Area" localSheetId="0">'QUANT-SERV-DRE-R AZUL'!$A$3:$Z$45</definedName>
    <definedName name="_xlnm.Print_Area" localSheetId="2">RESUMO!$A$1:$C$28</definedName>
    <definedName name="_xlnm.Print_Area">#REF!</definedName>
    <definedName name="Área_impressão_IM" localSheetId="9">#REF!</definedName>
    <definedName name="Área_impressão_IM" localSheetId="2">#REF!</definedName>
    <definedName name="Área_impressão_IM">#REF!</definedName>
    <definedName name="AUXILIARES" localSheetId="9">#REF!</definedName>
    <definedName name="AUXILIARES" localSheetId="2">#REF!</definedName>
    <definedName name="AUXILIARES">#REF!</definedName>
    <definedName name="BALSAS" localSheetId="9">#REF!</definedName>
    <definedName name="BALSAS" localSheetId="2">#REF!</definedName>
    <definedName name="BALSAS">#REF!</definedName>
    <definedName name="BANCO" localSheetId="9">#REF!</definedName>
    <definedName name="BANCO" localSheetId="2">#REF!</definedName>
    <definedName name="BANCO">#REF!</definedName>
    <definedName name="Banco_dados_IM" localSheetId="9">#REF!</definedName>
    <definedName name="Banco_dados_IM" localSheetId="2">#REF!</definedName>
    <definedName name="Banco_dados_IM">#REF!</definedName>
    <definedName name="_xlnm.Database" localSheetId="9">#REF!</definedName>
    <definedName name="_xlnm.Database" localSheetId="2">#REF!</definedName>
    <definedName name="_xlnm.Database">#REF!</definedName>
    <definedName name="BARRA_DO_CORDA" localSheetId="9">#REF!</definedName>
    <definedName name="BARRA_DO_CORDA" localSheetId="2">#REF!</definedName>
    <definedName name="BARRA_DO_CORDA">#REF!</definedName>
    <definedName name="bbcla" localSheetId="9">#REF!</definedName>
    <definedName name="bbcla" localSheetId="2">#REF!</definedName>
    <definedName name="bbcla">#REF!</definedName>
    <definedName name="BDI" localSheetId="9">#REF!</definedName>
    <definedName name="BDI" localSheetId="2">#REF!</definedName>
    <definedName name="BDI">#REF!</definedName>
    <definedName name="Bloco1" localSheetId="9">#REF!</definedName>
    <definedName name="Bloco1" localSheetId="2">#REF!</definedName>
    <definedName name="Bloco1">#REF!</definedName>
    <definedName name="Bloco1.2" localSheetId="9">#REF!</definedName>
    <definedName name="Bloco1.2" localSheetId="2">#REF!</definedName>
    <definedName name="Bloco1.2">#REF!</definedName>
    <definedName name="Bloco1.3" localSheetId="9">#REF!</definedName>
    <definedName name="Bloco1.3" localSheetId="2">#REF!</definedName>
    <definedName name="Bloco1.3">#REF!</definedName>
    <definedName name="Bloco10" localSheetId="9">#REF!</definedName>
    <definedName name="Bloco10" localSheetId="2">#REF!</definedName>
    <definedName name="Bloco10">#REF!</definedName>
    <definedName name="Bloco11" localSheetId="9">#REF!</definedName>
    <definedName name="Bloco11" localSheetId="2">#REF!</definedName>
    <definedName name="Bloco11">#REF!</definedName>
    <definedName name="Bloco12" localSheetId="9">#REF!</definedName>
    <definedName name="Bloco12" localSheetId="2">#REF!</definedName>
    <definedName name="Bloco12">#REF!</definedName>
    <definedName name="Bloco13" localSheetId="9">#REF!</definedName>
    <definedName name="Bloco13" localSheetId="2">#REF!</definedName>
    <definedName name="Bloco13">#REF!</definedName>
    <definedName name="Bloco14" localSheetId="9">#REF!</definedName>
    <definedName name="Bloco14" localSheetId="2">#REF!</definedName>
    <definedName name="Bloco14">#REF!</definedName>
    <definedName name="Bloco15" localSheetId="9">#REF!</definedName>
    <definedName name="Bloco15" localSheetId="2">#REF!</definedName>
    <definedName name="Bloco15">#REF!</definedName>
    <definedName name="Bloco16" localSheetId="9">#REF!</definedName>
    <definedName name="Bloco16" localSheetId="2">#REF!</definedName>
    <definedName name="Bloco16">#REF!</definedName>
    <definedName name="Bloco17" localSheetId="9">#REF!</definedName>
    <definedName name="Bloco17" localSheetId="2">#REF!</definedName>
    <definedName name="Bloco17">#REF!</definedName>
    <definedName name="Bloco18" localSheetId="9">#REF!</definedName>
    <definedName name="Bloco18" localSheetId="2">#REF!</definedName>
    <definedName name="Bloco18">#REF!</definedName>
    <definedName name="Bloco19" localSheetId="9">#REF!</definedName>
    <definedName name="Bloco19" localSheetId="2">#REF!</definedName>
    <definedName name="Bloco19">#REF!</definedName>
    <definedName name="Bloco2" localSheetId="9">#REF!</definedName>
    <definedName name="Bloco2" localSheetId="2">#REF!</definedName>
    <definedName name="Bloco2">#REF!</definedName>
    <definedName name="Bloco20" localSheetId="9">#REF!</definedName>
    <definedName name="Bloco20" localSheetId="2">#REF!</definedName>
    <definedName name="Bloco20">#REF!</definedName>
    <definedName name="Bloco203" localSheetId="9">#REF!</definedName>
    <definedName name="Bloco203" localSheetId="2">#REF!</definedName>
    <definedName name="Bloco203">#REF!</definedName>
    <definedName name="Bloco21" localSheetId="9">#REF!</definedName>
    <definedName name="Bloco21" localSheetId="2">#REF!</definedName>
    <definedName name="Bloco21">#REF!</definedName>
    <definedName name="Bloco22" localSheetId="9">#REF!</definedName>
    <definedName name="Bloco22" localSheetId="2">#REF!</definedName>
    <definedName name="Bloco22">#REF!</definedName>
    <definedName name="Bloco23" localSheetId="9">#REF!</definedName>
    <definedName name="Bloco23" localSheetId="2">#REF!</definedName>
    <definedName name="Bloco23">#REF!</definedName>
    <definedName name="Bloco24" localSheetId="9">#REF!</definedName>
    <definedName name="Bloco24" localSheetId="2">#REF!</definedName>
    <definedName name="Bloco24">#REF!</definedName>
    <definedName name="Bloco25" localSheetId="9">#REF!</definedName>
    <definedName name="Bloco25" localSheetId="2">#REF!</definedName>
    <definedName name="Bloco25">#REF!</definedName>
    <definedName name="Bloco3" localSheetId="9">#REF!</definedName>
    <definedName name="Bloco3" localSheetId="2">#REF!</definedName>
    <definedName name="Bloco3">#REF!</definedName>
    <definedName name="Bloco4" localSheetId="9">#REF!</definedName>
    <definedName name="Bloco4" localSheetId="2">#REF!</definedName>
    <definedName name="Bloco4">#REF!</definedName>
    <definedName name="Bloco5" localSheetId="9">#REF!</definedName>
    <definedName name="Bloco5" localSheetId="2">#REF!</definedName>
    <definedName name="Bloco5">#REF!</definedName>
    <definedName name="Bloco6" localSheetId="9">#REF!</definedName>
    <definedName name="Bloco6" localSheetId="2">#REF!</definedName>
    <definedName name="Bloco6">#REF!</definedName>
    <definedName name="Bloco7" localSheetId="9">#REF!</definedName>
    <definedName name="Bloco7" localSheetId="2">#REF!</definedName>
    <definedName name="Bloco7">#REF!</definedName>
    <definedName name="Bloco8" localSheetId="9">#REF!</definedName>
    <definedName name="Bloco8" localSheetId="2">#REF!</definedName>
    <definedName name="Bloco8">#REF!</definedName>
    <definedName name="Bloco9" localSheetId="9">#REF!</definedName>
    <definedName name="Bloco9" localSheetId="2">#REF!</definedName>
    <definedName name="Bloco9">#REF!</definedName>
    <definedName name="Bomba_putzmeister" localSheetId="9">#REF!</definedName>
    <definedName name="Bomba_putzmeister" localSheetId="2">#REF!</definedName>
    <definedName name="Bomba_putzmeister">#REF!</definedName>
    <definedName name="CAROLINA" localSheetId="9">#REF!</definedName>
    <definedName name="CAROLINA" localSheetId="2">#REF!</definedName>
    <definedName name="CAROLINA">#REF!</definedName>
    <definedName name="Cat" localSheetId="9">#REF!</definedName>
    <definedName name="Cat" localSheetId="2">#REF!</definedName>
    <definedName name="Cat">#REF!</definedName>
    <definedName name="Código" localSheetId="9">#REF!</definedName>
    <definedName name="Código" localSheetId="2">#REF!</definedName>
    <definedName name="Código">#REF!</definedName>
    <definedName name="CODO" localSheetId="9">#REF!</definedName>
    <definedName name="CODO" localSheetId="2">#REF!</definedName>
    <definedName name="CODO">#REF!</definedName>
    <definedName name="COMP" localSheetId="2">#REF!</definedName>
    <definedName name="COMP">#REF!</definedName>
    <definedName name="COMPOSIÇÃO" localSheetId="9">#REF!</definedName>
    <definedName name="COMPOSIÇÃO" localSheetId="2">#REF!</definedName>
    <definedName name="COMPOSIÇÃO">#REF!</definedName>
    <definedName name="Comprimento_Equivalente" localSheetId="9">#REF!</definedName>
    <definedName name="Comprimento_Equivalente" localSheetId="2">#REF!</definedName>
    <definedName name="Comprimento_Equivalente">#REF!</definedName>
    <definedName name="Condulete_de_alumínio_diam_20mm" localSheetId="9">#REF!</definedName>
    <definedName name="Condulete_de_alumínio_diam_20mm" localSheetId="2">#REF!</definedName>
    <definedName name="Condulete_de_alumínio_diam_20mm">#REF!</definedName>
    <definedName name="Condulete_de_alumínio_diam_25mm" localSheetId="9">#REF!</definedName>
    <definedName name="Condulete_de_alumínio_diam_25mm" localSheetId="2">#REF!</definedName>
    <definedName name="Condulete_de_alumínio_diam_25mm">#REF!</definedName>
    <definedName name="Condulete_de_alumínio_diam_32mm" localSheetId="9">#REF!</definedName>
    <definedName name="Condulete_de_alumínio_diam_32mm" localSheetId="2">#REF!</definedName>
    <definedName name="Condulete_de_alumínio_diam_32mm">#REF!</definedName>
    <definedName name="CONSTRUÇÕES_E_COMÉRCIO" localSheetId="9">#REF!</definedName>
    <definedName name="CONSTRUÇÕES_E_COMÉRCIO" localSheetId="2">#REF!</definedName>
    <definedName name="CONSTRUÇÕES_E_COMÉRCIO">#REF!</definedName>
    <definedName name="contratada" localSheetId="9">#REF!</definedName>
    <definedName name="contratada" localSheetId="2">#REF!</definedName>
    <definedName name="contratada">#REF!</definedName>
    <definedName name="CONTRATO">#REF!</definedName>
    <definedName name="Curva_de_ferro_galvanizado_pesado_diam_20mm" localSheetId="9">#REF!</definedName>
    <definedName name="Curva_de_ferro_galvanizado_pesado_diam_20mm" localSheetId="2">#REF!</definedName>
    <definedName name="Curva_de_ferro_galvanizado_pesado_diam_20mm">#REF!</definedName>
    <definedName name="Curva_de_ferro_galvanizado_pesado_diam_25mm" localSheetId="9">#REF!</definedName>
    <definedName name="Curva_de_ferro_galvanizado_pesado_diam_25mm" localSheetId="2">#REF!</definedName>
    <definedName name="Curva_de_ferro_galvanizado_pesado_diam_25mm">#REF!</definedName>
    <definedName name="Curva_de_ferro_galvanizado_pesado_diam_32mm" localSheetId="9">#REF!</definedName>
    <definedName name="Curva_de_ferro_galvanizado_pesado_diam_32mm" localSheetId="2">#REF!</definedName>
    <definedName name="Curva_de_ferro_galvanizado_pesado_diam_32mm">#REF!</definedName>
    <definedName name="dados" localSheetId="9">#REF!</definedName>
    <definedName name="dados" localSheetId="2">#REF!</definedName>
    <definedName name="dados">#REF!</definedName>
    <definedName name="dados10" localSheetId="9">#REF!</definedName>
    <definedName name="dados10" localSheetId="2">#REF!</definedName>
    <definedName name="dados10">#REF!</definedName>
    <definedName name="dados2" localSheetId="9">#REF!</definedName>
    <definedName name="dados2" localSheetId="2">#REF!</definedName>
    <definedName name="dados2">#REF!</definedName>
    <definedName name="dados3" localSheetId="9">#REF!</definedName>
    <definedName name="dados3" localSheetId="2">#REF!</definedName>
    <definedName name="dados3">#REF!</definedName>
    <definedName name="dados5" localSheetId="9">#REF!</definedName>
    <definedName name="dados5" localSheetId="2">#REF!</definedName>
    <definedName name="dados5">#REF!</definedName>
    <definedName name="DADOS6" localSheetId="9">#REF!</definedName>
    <definedName name="DADOS6" localSheetId="2">#REF!</definedName>
    <definedName name="DADOS6">#REF!</definedName>
    <definedName name="dadosadutora">[5]Drenagem!$D$4:$R$469</definedName>
    <definedName name="dadosesgoto">[5]Drenagem!$D$5:$R$408</definedName>
    <definedName name="DD" localSheetId="9">#REF!</definedName>
    <definedName name="DD" localSheetId="2">#REF!</definedName>
    <definedName name="DD">#REF!</definedName>
    <definedName name="demo" localSheetId="2">#REF!</definedName>
    <definedName name="demo">#REF!</definedName>
    <definedName name="dep.lote" localSheetId="9">#REF!</definedName>
    <definedName name="dep.lote" localSheetId="2">#REF!</definedName>
    <definedName name="dep.lote">#REF!</definedName>
    <definedName name="DIAMETRO" localSheetId="9">#REF!</definedName>
    <definedName name="DIAMETRO" localSheetId="2">#REF!</definedName>
    <definedName name="DIAMETRO">#REF!</definedName>
    <definedName name="DS" localSheetId="9">#REF!</definedName>
    <definedName name="DS" localSheetId="2">#REF!</definedName>
    <definedName name="DS">#REF!</definedName>
    <definedName name="EDER" localSheetId="9">#REF!</definedName>
    <definedName name="EDER" localSheetId="2">#REF!</definedName>
    <definedName name="EDER">#REF!</definedName>
    <definedName name="eder2" localSheetId="2">#REF!</definedName>
    <definedName name="eder2">#REF!</definedName>
    <definedName name="Eletroduto_de_ferro_galvanizado_pesado_diam_20mm" localSheetId="9">#REF!</definedName>
    <definedName name="Eletroduto_de_ferro_galvanizado_pesado_diam_20mm" localSheetId="2">#REF!</definedName>
    <definedName name="Eletroduto_de_ferro_galvanizado_pesado_diam_20mm">#REF!</definedName>
    <definedName name="Eletroduto_de_ferro_galvanizado_pesado_diam_25mm" localSheetId="9">#REF!</definedName>
    <definedName name="Eletroduto_de_ferro_galvanizado_pesado_diam_25mm" localSheetId="2">#REF!</definedName>
    <definedName name="Eletroduto_de_ferro_galvanizado_pesado_diam_25mm">#REF!</definedName>
    <definedName name="Eletroduto_de_ferro_galvanizado_pesado_diam_32mm" localSheetId="9">#REF!</definedName>
    <definedName name="Eletroduto_de_ferro_galvanizado_pesado_diam_32mm" localSheetId="2">#REF!</definedName>
    <definedName name="Eletroduto_de_ferro_galvanizado_pesado_diam_32mm">#REF!</definedName>
    <definedName name="EQPTO" localSheetId="9">#REF!</definedName>
    <definedName name="EQPTO" localSheetId="2">#REF!</definedName>
    <definedName name="EQPTO">#REF!</definedName>
    <definedName name="ESCAV.MEC.CLAM.SHEL.DEP.LAT" localSheetId="2">#REF!</definedName>
    <definedName name="ESCAV.MEC.CLAM.SHEL.DEP.LAT">#REF!</definedName>
    <definedName name="ESCAV.MEC.RETRO.DEP.LAT" localSheetId="2">#REF!</definedName>
    <definedName name="ESCAV.MEC.RETRO.DEP.LAT">#REF!</definedName>
    <definedName name="Excel_BuiltIn__FilterDatabase" localSheetId="9">#REF!</definedName>
    <definedName name="Excel_BuiltIn__FilterDatabase" localSheetId="2">#REF!</definedName>
    <definedName name="Excel_BuiltIn__FilterDatabase">#REF!</definedName>
    <definedName name="Excel_BuiltIn__FilterDatabase_5" localSheetId="2">#REF!</definedName>
    <definedName name="Excel_BuiltIn__FilterDatabase_5">#REF!</definedName>
    <definedName name="Excel_BuiltIn__FilterDatabase_5_1" localSheetId="2">#REF!</definedName>
    <definedName name="Excel_BuiltIn__FilterDatabase_5_1">#REF!</definedName>
    <definedName name="Excel_BuiltIn__FilterDatabase_6" localSheetId="2">#REF!</definedName>
    <definedName name="Excel_BuiltIn__FilterDatabase_6">#REF!</definedName>
    <definedName name="Excel_BuiltIn__FilterDatabase_7" localSheetId="2">#REF!</definedName>
    <definedName name="Excel_BuiltIn__FilterDatabase_7">#REF!</definedName>
    <definedName name="Excel_BuiltIn__FilterDatabase_8" localSheetId="2">#REF!</definedName>
    <definedName name="Excel_BuiltIn__FilterDatabase_8">#REF!</definedName>
    <definedName name="Excel_BuiltIn_Print_Area" localSheetId="9">#REF!</definedName>
    <definedName name="Excel_BuiltIn_Print_Area" localSheetId="2">#REF!</definedName>
    <definedName name="Excel_BuiltIn_Print_Area">#REF!</definedName>
    <definedName name="Excel_BuiltIn_Print_Area_0" localSheetId="9">#REF!</definedName>
    <definedName name="Excel_BuiltIn_Print_Area_0" localSheetId="2">#REF!</definedName>
    <definedName name="Excel_BuiltIn_Print_Area_0">#REF!</definedName>
    <definedName name="Excel_BuiltIn_Print_Area_1" localSheetId="2">#REF!</definedName>
    <definedName name="Excel_BuiltIn_Print_Area_1">#REF!</definedName>
    <definedName name="Excel_BuiltIn_Print_Area_1_1_1" localSheetId="9">#REF!</definedName>
    <definedName name="Excel_BuiltIn_Print_Area_1_1_1" localSheetId="2">#REF!</definedName>
    <definedName name="Excel_BuiltIn_Print_Area_1_1_1">#REF!</definedName>
    <definedName name="Excel_BuiltIn_Print_Area_1_1_1_2" localSheetId="9">#REF!</definedName>
    <definedName name="Excel_BuiltIn_Print_Area_1_1_1_2" localSheetId="2">#REF!</definedName>
    <definedName name="Excel_BuiltIn_Print_Area_1_1_1_2">#REF!</definedName>
    <definedName name="Excel_BuiltIn_Print_Area_2" localSheetId="2">#REF!</definedName>
    <definedName name="Excel_BuiltIn_Print_Area_2">#REF!</definedName>
    <definedName name="Excel_BuiltIn_Print_Area_2_1" localSheetId="2">#REF!</definedName>
    <definedName name="Excel_BuiltIn_Print_Area_2_1">#REF!</definedName>
    <definedName name="Excel_BuiltIn_Print_Area_5_1" localSheetId="2">#REF!</definedName>
    <definedName name="Excel_BuiltIn_Print_Area_5_1">#REF!</definedName>
    <definedName name="Excel_BuiltIn_Print_Area_6" localSheetId="2">#REF!</definedName>
    <definedName name="Excel_BuiltIn_Print_Area_6">#REF!</definedName>
    <definedName name="Excel_BuiltIn_Print_Area_6_1" localSheetId="2">#REF!</definedName>
    <definedName name="Excel_BuiltIn_Print_Area_6_1">#REF!</definedName>
    <definedName name="Excel_BuiltIn_Print_Area_7" localSheetId="2">#REF!</definedName>
    <definedName name="Excel_BuiltIn_Print_Area_7">#REF!</definedName>
    <definedName name="Excel_BuiltIn_Print_Area_8" localSheetId="2">#REF!</definedName>
    <definedName name="Excel_BuiltIn_Print_Area_8">#REF!</definedName>
    <definedName name="Excel_BuiltIn_Print_Area_8_1" localSheetId="2">#REF!</definedName>
    <definedName name="Excel_BuiltIn_Print_Area_8_1">#REF!</definedName>
    <definedName name="Excel_BuiltIn_Print_Titles" localSheetId="9">#REF!</definedName>
    <definedName name="Excel_BuiltIn_Print_Titles" localSheetId="2">#REF!</definedName>
    <definedName name="Excel_BuiltIn_Print_Titles">#REF!</definedName>
    <definedName name="Excel_BuiltIn_Print_Titles_0" localSheetId="9">#REF!</definedName>
    <definedName name="Excel_BuiltIn_Print_Titles_0" localSheetId="2">#REF!</definedName>
    <definedName name="Excel_BuiltIn_Print_Titles_0">#REF!</definedName>
    <definedName name="Excel_BuiltIn_Print_Titles_1" localSheetId="2">#REF!</definedName>
    <definedName name="Excel_BuiltIn_Print_Titles_1">#REF!</definedName>
    <definedName name="Excel_BuiltIn_Print_Titles_2" localSheetId="2">#REF!</definedName>
    <definedName name="Excel_BuiltIn_Print_Titles_2">#REF!</definedName>
    <definedName name="Excel_BuiltIn_Print_Titles_5" localSheetId="2">#REF!</definedName>
    <definedName name="Excel_BuiltIn_Print_Titles_5">#REF!</definedName>
    <definedName name="Excel_BuiltIn_Print_Titles_5_1" localSheetId="2">#REF!</definedName>
    <definedName name="Excel_BuiltIn_Print_Titles_5_1">#REF!</definedName>
    <definedName name="Excel_BuiltIn_Print_Titles_6" localSheetId="2">#REF!</definedName>
    <definedName name="Excel_BuiltIn_Print_Titles_6">#REF!</definedName>
    <definedName name="Excel_BuiltIn_Print_Titles_6_1" localSheetId="2">#REF!</definedName>
    <definedName name="Excel_BuiltIn_Print_Titles_6_1">#REF!</definedName>
    <definedName name="Excel_BuiltIn_Print_Titles_7" localSheetId="2">#REF!</definedName>
    <definedName name="Excel_BuiltIn_Print_Titles_7">#REF!</definedName>
    <definedName name="Excel_BuiltIn_Print_Titles_8" localSheetId="2">#REF!</definedName>
    <definedName name="Excel_BuiltIn_Print_Titles_8">#REF!</definedName>
    <definedName name="Exist" localSheetId="2">#REF!</definedName>
    <definedName name="Exist">#REF!</definedName>
    <definedName name="F" localSheetId="2" hidden="1">#REF!</definedName>
    <definedName name="F" hidden="1">#REF!</definedName>
    <definedName name="F_01_120" localSheetId="2">#REF!</definedName>
    <definedName name="F_01_120">#REF!</definedName>
    <definedName name="F_01_150" localSheetId="2">#REF!</definedName>
    <definedName name="F_01_150">#REF!</definedName>
    <definedName name="F_01_180" localSheetId="2">#REF!</definedName>
    <definedName name="F_01_180">#REF!</definedName>
    <definedName name="F_01_210" localSheetId="2">#REF!</definedName>
    <definedName name="F_01_210">#REF!</definedName>
    <definedName name="F_01_240" localSheetId="2">#REF!</definedName>
    <definedName name="F_01_240">#REF!</definedName>
    <definedName name="F_01_270" localSheetId="2">#REF!</definedName>
    <definedName name="F_01_270">#REF!</definedName>
    <definedName name="F_01_30" localSheetId="2">#REF!</definedName>
    <definedName name="F_01_30">#REF!</definedName>
    <definedName name="F_01_300" localSheetId="2">#REF!</definedName>
    <definedName name="F_01_300">#REF!</definedName>
    <definedName name="F_01_330" localSheetId="2">#REF!</definedName>
    <definedName name="F_01_330">#REF!</definedName>
    <definedName name="F_01_360" localSheetId="2">#REF!</definedName>
    <definedName name="F_01_360">#REF!</definedName>
    <definedName name="F_01_390" localSheetId="2">#REF!</definedName>
    <definedName name="F_01_390">#REF!</definedName>
    <definedName name="F_01_420" localSheetId="2">#REF!</definedName>
    <definedName name="F_01_420">#REF!</definedName>
    <definedName name="F_01_450" localSheetId="2">#REF!</definedName>
    <definedName name="F_01_450">#REF!</definedName>
    <definedName name="F_01_480" localSheetId="2">#REF!</definedName>
    <definedName name="F_01_480">#REF!</definedName>
    <definedName name="F_01_510" localSheetId="2">#REF!</definedName>
    <definedName name="F_01_510">#REF!</definedName>
    <definedName name="F_01_540" localSheetId="2">#REF!</definedName>
    <definedName name="F_01_540">#REF!</definedName>
    <definedName name="F_01_570" localSheetId="2">#REF!</definedName>
    <definedName name="F_01_570">#REF!</definedName>
    <definedName name="F_01_60" localSheetId="2">#REF!</definedName>
    <definedName name="F_01_60">#REF!</definedName>
    <definedName name="F_01_600" localSheetId="2">#REF!</definedName>
    <definedName name="F_01_600">#REF!</definedName>
    <definedName name="F_01_630" localSheetId="2">#REF!</definedName>
    <definedName name="F_01_630">#REF!</definedName>
    <definedName name="F_01_660" localSheetId="2">#REF!</definedName>
    <definedName name="F_01_660">#REF!</definedName>
    <definedName name="F_01_690" localSheetId="2">#REF!</definedName>
    <definedName name="F_01_690">#REF!</definedName>
    <definedName name="F_01_720" localSheetId="2">#REF!</definedName>
    <definedName name="F_01_720">#REF!</definedName>
    <definedName name="F_01_90" localSheetId="2">#REF!</definedName>
    <definedName name="F_01_90">#REF!</definedName>
    <definedName name="F_02_120" localSheetId="2">#REF!</definedName>
    <definedName name="F_02_120">#REF!</definedName>
    <definedName name="F_02_150" localSheetId="2">#REF!</definedName>
    <definedName name="F_02_150">#REF!</definedName>
    <definedName name="F_02_180" localSheetId="2">#REF!</definedName>
    <definedName name="F_02_180">#REF!</definedName>
    <definedName name="F_02_210" localSheetId="2">#REF!</definedName>
    <definedName name="F_02_210">#REF!</definedName>
    <definedName name="F_02_240" localSheetId="2">#REF!</definedName>
    <definedName name="F_02_240">#REF!</definedName>
    <definedName name="F_02_270" localSheetId="2">#REF!</definedName>
    <definedName name="F_02_270">#REF!</definedName>
    <definedName name="F_02_30" localSheetId="2">#REF!</definedName>
    <definedName name="F_02_30">#REF!</definedName>
    <definedName name="F_02_300" localSheetId="2">#REF!</definedName>
    <definedName name="F_02_300">#REF!</definedName>
    <definedName name="F_02_330" localSheetId="2">#REF!</definedName>
    <definedName name="F_02_330">#REF!</definedName>
    <definedName name="F_02_360" localSheetId="2">#REF!</definedName>
    <definedName name="F_02_360">#REF!</definedName>
    <definedName name="F_02_390" localSheetId="2">#REF!</definedName>
    <definedName name="F_02_390">#REF!</definedName>
    <definedName name="F_02_420" localSheetId="2">#REF!</definedName>
    <definedName name="F_02_420">#REF!</definedName>
    <definedName name="F_02_450" localSheetId="2">#REF!</definedName>
    <definedName name="F_02_450">#REF!</definedName>
    <definedName name="F_02_480" localSheetId="2">#REF!</definedName>
    <definedName name="F_02_480">#REF!</definedName>
    <definedName name="F_02_510" localSheetId="2">#REF!</definedName>
    <definedName name="F_02_510">#REF!</definedName>
    <definedName name="F_02_540" localSheetId="2">#REF!</definedName>
    <definedName name="F_02_540">#REF!</definedName>
    <definedName name="F_02_570" localSheetId="2">#REF!</definedName>
    <definedName name="F_02_570">#REF!</definedName>
    <definedName name="F_02_60" localSheetId="2">#REF!</definedName>
    <definedName name="F_02_60">#REF!</definedName>
    <definedName name="F_02_600" localSheetId="2">#REF!</definedName>
    <definedName name="F_02_600">#REF!</definedName>
    <definedName name="F_02_630" localSheetId="2">#REF!</definedName>
    <definedName name="F_02_630">#REF!</definedName>
    <definedName name="F_02_660" localSheetId="2">#REF!</definedName>
    <definedName name="F_02_660">#REF!</definedName>
    <definedName name="F_02_690" localSheetId="2">#REF!</definedName>
    <definedName name="F_02_690">#REF!</definedName>
    <definedName name="F_02_720" localSheetId="2">#REF!</definedName>
    <definedName name="F_02_720">#REF!</definedName>
    <definedName name="F_02_90" localSheetId="2">#REF!</definedName>
    <definedName name="F_02_90">#REF!</definedName>
    <definedName name="F_03_120" localSheetId="2">#REF!</definedName>
    <definedName name="F_03_120">#REF!</definedName>
    <definedName name="F_03_150" localSheetId="2">#REF!</definedName>
    <definedName name="F_03_150">#REF!</definedName>
    <definedName name="F_03_180" localSheetId="2">#REF!</definedName>
    <definedName name="F_03_180">#REF!</definedName>
    <definedName name="F_03_210" localSheetId="2">#REF!</definedName>
    <definedName name="F_03_210">#REF!</definedName>
    <definedName name="F_03_240" localSheetId="2">#REF!</definedName>
    <definedName name="F_03_240">#REF!</definedName>
    <definedName name="F_03_270" localSheetId="2">#REF!</definedName>
    <definedName name="F_03_270">#REF!</definedName>
    <definedName name="F_03_30" localSheetId="2">#REF!</definedName>
    <definedName name="F_03_30">#REF!</definedName>
    <definedName name="F_03_300" localSheetId="2">#REF!</definedName>
    <definedName name="F_03_300">#REF!</definedName>
    <definedName name="F_03_330" localSheetId="2">#REF!</definedName>
    <definedName name="F_03_330">#REF!</definedName>
    <definedName name="F_03_360" localSheetId="2">#REF!</definedName>
    <definedName name="F_03_360">#REF!</definedName>
    <definedName name="F_03_390" localSheetId="2">#REF!</definedName>
    <definedName name="F_03_390">#REF!</definedName>
    <definedName name="F_03_420" localSheetId="2">#REF!</definedName>
    <definedName name="F_03_420">#REF!</definedName>
    <definedName name="F_03_450" localSheetId="2">#REF!</definedName>
    <definedName name="F_03_450">#REF!</definedName>
    <definedName name="F_03_480" localSheetId="2">#REF!</definedName>
    <definedName name="F_03_480">#REF!</definedName>
    <definedName name="F_03_510" localSheetId="2">#REF!</definedName>
    <definedName name="F_03_510">#REF!</definedName>
    <definedName name="F_03_540" localSheetId="2">#REF!</definedName>
    <definedName name="F_03_540">#REF!</definedName>
    <definedName name="F_03_570" localSheetId="2">#REF!</definedName>
    <definedName name="F_03_570">#REF!</definedName>
    <definedName name="F_03_60" localSheetId="2">#REF!</definedName>
    <definedName name="F_03_60">#REF!</definedName>
    <definedName name="F_03_600" localSheetId="2">#REF!</definedName>
    <definedName name="F_03_600">#REF!</definedName>
    <definedName name="F_03_630" localSheetId="2">#REF!</definedName>
    <definedName name="F_03_630">#REF!</definedName>
    <definedName name="F_03_660" localSheetId="2">#REF!</definedName>
    <definedName name="F_03_660">#REF!</definedName>
    <definedName name="F_03_690" localSheetId="2">#REF!</definedName>
    <definedName name="F_03_690">#REF!</definedName>
    <definedName name="F_03_720" localSheetId="2">#REF!</definedName>
    <definedName name="F_03_720">#REF!</definedName>
    <definedName name="F_03_90" localSheetId="2">#REF!</definedName>
    <definedName name="F_03_90">#REF!</definedName>
    <definedName name="F_04_120" localSheetId="2">#REF!</definedName>
    <definedName name="F_04_120">#REF!</definedName>
    <definedName name="F_04_150" localSheetId="2">#REF!</definedName>
    <definedName name="F_04_150">#REF!</definedName>
    <definedName name="F_04_180" localSheetId="2">#REF!</definedName>
    <definedName name="F_04_180">#REF!</definedName>
    <definedName name="F_04_210" localSheetId="2">#REF!</definedName>
    <definedName name="F_04_210">#REF!</definedName>
    <definedName name="F_04_240" localSheetId="2">#REF!</definedName>
    <definedName name="F_04_240">#REF!</definedName>
    <definedName name="F_04_270" localSheetId="2">#REF!</definedName>
    <definedName name="F_04_270">#REF!</definedName>
    <definedName name="F_04_30" localSheetId="2">#REF!</definedName>
    <definedName name="F_04_30">#REF!</definedName>
    <definedName name="F_04_300" localSheetId="2">#REF!</definedName>
    <definedName name="F_04_300">#REF!</definedName>
    <definedName name="F_04_330" localSheetId="2">#REF!</definedName>
    <definedName name="F_04_330">#REF!</definedName>
    <definedName name="F_04_360" localSheetId="2">#REF!</definedName>
    <definedName name="F_04_360">#REF!</definedName>
    <definedName name="F_04_390" localSheetId="2">#REF!</definedName>
    <definedName name="F_04_390">#REF!</definedName>
    <definedName name="F_04_420" localSheetId="2">#REF!</definedName>
    <definedName name="F_04_420">#REF!</definedName>
    <definedName name="F_04_450" localSheetId="2">#REF!</definedName>
    <definedName name="F_04_450">#REF!</definedName>
    <definedName name="F_04_480" localSheetId="2">#REF!</definedName>
    <definedName name="F_04_480">#REF!</definedName>
    <definedName name="F_04_510" localSheetId="2">#REF!</definedName>
    <definedName name="F_04_510">#REF!</definedName>
    <definedName name="F_04_540" localSheetId="2">#REF!</definedName>
    <definedName name="F_04_540">#REF!</definedName>
    <definedName name="F_04_570" localSheetId="2">#REF!</definedName>
    <definedName name="F_04_570">#REF!</definedName>
    <definedName name="F_04_60" localSheetId="2">#REF!</definedName>
    <definedName name="F_04_60">#REF!</definedName>
    <definedName name="F_04_600" localSheetId="2">#REF!</definedName>
    <definedName name="F_04_600">#REF!</definedName>
    <definedName name="F_04_630" localSheetId="2">#REF!</definedName>
    <definedName name="F_04_630">#REF!</definedName>
    <definedName name="F_04_660" localSheetId="2">#REF!</definedName>
    <definedName name="F_04_660">#REF!</definedName>
    <definedName name="F_04_690" localSheetId="2">#REF!</definedName>
    <definedName name="F_04_690">#REF!</definedName>
    <definedName name="F_04_720" localSheetId="2">#REF!</definedName>
    <definedName name="F_04_720">#REF!</definedName>
    <definedName name="F_04_90" localSheetId="2">#REF!</definedName>
    <definedName name="F_04_90">#REF!</definedName>
    <definedName name="F_05_120" localSheetId="2">#REF!</definedName>
    <definedName name="F_05_120">#REF!</definedName>
    <definedName name="F_05_150" localSheetId="2">#REF!</definedName>
    <definedName name="F_05_150">#REF!</definedName>
    <definedName name="F_05_180" localSheetId="2">#REF!</definedName>
    <definedName name="F_05_180">#REF!</definedName>
    <definedName name="F_05_210" localSheetId="2">#REF!</definedName>
    <definedName name="F_05_210">#REF!</definedName>
    <definedName name="F_05_240" localSheetId="2">#REF!</definedName>
    <definedName name="F_05_240">#REF!</definedName>
    <definedName name="F_05_270" localSheetId="2">#REF!</definedName>
    <definedName name="F_05_270">#REF!</definedName>
    <definedName name="F_05_30" localSheetId="2">#REF!</definedName>
    <definedName name="F_05_30">#REF!</definedName>
    <definedName name="F_05_300" localSheetId="2">#REF!</definedName>
    <definedName name="F_05_300">#REF!</definedName>
    <definedName name="F_05_330" localSheetId="2">#REF!</definedName>
    <definedName name="F_05_330">#REF!</definedName>
    <definedName name="F_05_360" localSheetId="2">#REF!</definedName>
    <definedName name="F_05_360">#REF!</definedName>
    <definedName name="F_05_390" localSheetId="2">#REF!</definedName>
    <definedName name="F_05_390">#REF!</definedName>
    <definedName name="F_05_420" localSheetId="2">#REF!</definedName>
    <definedName name="F_05_420">#REF!</definedName>
    <definedName name="F_05_450" localSheetId="2">#REF!</definedName>
    <definedName name="F_05_450">#REF!</definedName>
    <definedName name="F_05_480" localSheetId="2">#REF!</definedName>
    <definedName name="F_05_480">#REF!</definedName>
    <definedName name="F_05_510" localSheetId="2">#REF!</definedName>
    <definedName name="F_05_510">#REF!</definedName>
    <definedName name="F_05_540" localSheetId="2">#REF!</definedName>
    <definedName name="F_05_540">#REF!</definedName>
    <definedName name="F_05_570" localSheetId="2">#REF!</definedName>
    <definedName name="F_05_570">#REF!</definedName>
    <definedName name="F_05_60" localSheetId="2">#REF!</definedName>
    <definedName name="F_05_60">#REF!</definedName>
    <definedName name="F_05_600" localSheetId="2">#REF!</definedName>
    <definedName name="F_05_600">#REF!</definedName>
    <definedName name="F_05_630" localSheetId="2">#REF!</definedName>
    <definedName name="F_05_630">#REF!</definedName>
    <definedName name="F_05_660" localSheetId="2">#REF!</definedName>
    <definedName name="F_05_660">#REF!</definedName>
    <definedName name="F_05_690" localSheetId="2">#REF!</definedName>
    <definedName name="F_05_690">#REF!</definedName>
    <definedName name="F_05_720" localSheetId="2">#REF!</definedName>
    <definedName name="F_05_720">#REF!</definedName>
    <definedName name="F_05_90" localSheetId="2">#REF!</definedName>
    <definedName name="F_05_90">#REF!</definedName>
    <definedName name="F_06_120" localSheetId="2">#REF!</definedName>
    <definedName name="F_06_120">#REF!</definedName>
    <definedName name="F_06_150" localSheetId="2">#REF!</definedName>
    <definedName name="F_06_150">#REF!</definedName>
    <definedName name="F_06_180" localSheetId="2">#REF!</definedName>
    <definedName name="F_06_180">#REF!</definedName>
    <definedName name="F_06_210" localSheetId="2">#REF!</definedName>
    <definedName name="F_06_210">#REF!</definedName>
    <definedName name="F_06_240" localSheetId="2">#REF!</definedName>
    <definedName name="F_06_240">#REF!</definedName>
    <definedName name="F_06_270" localSheetId="2">#REF!</definedName>
    <definedName name="F_06_270">#REF!</definedName>
    <definedName name="F_06_30" localSheetId="2">#REF!</definedName>
    <definedName name="F_06_30">#REF!</definedName>
    <definedName name="F_06_300" localSheetId="2">#REF!</definedName>
    <definedName name="F_06_300">#REF!</definedName>
    <definedName name="F_06_330" localSheetId="2">#REF!</definedName>
    <definedName name="F_06_330">#REF!</definedName>
    <definedName name="F_06_360" localSheetId="2">#REF!</definedName>
    <definedName name="F_06_360">#REF!</definedName>
    <definedName name="F_06_390" localSheetId="2">#REF!</definedName>
    <definedName name="F_06_390">#REF!</definedName>
    <definedName name="F_06_420" localSheetId="2">#REF!</definedName>
    <definedName name="F_06_420">#REF!</definedName>
    <definedName name="F_06_450" localSheetId="2">#REF!</definedName>
    <definedName name="F_06_450">#REF!</definedName>
    <definedName name="F_06_480" localSheetId="2">#REF!</definedName>
    <definedName name="F_06_480">#REF!</definedName>
    <definedName name="F_06_510" localSheetId="2">#REF!</definedName>
    <definedName name="F_06_510">#REF!</definedName>
    <definedName name="F_06_540" localSheetId="2">#REF!</definedName>
    <definedName name="F_06_540">#REF!</definedName>
    <definedName name="F_06_570" localSheetId="2">#REF!</definedName>
    <definedName name="F_06_570">#REF!</definedName>
    <definedName name="F_06_60" localSheetId="2">#REF!</definedName>
    <definedName name="F_06_60">#REF!</definedName>
    <definedName name="F_06_600" localSheetId="2">#REF!</definedName>
    <definedName name="F_06_600">#REF!</definedName>
    <definedName name="F_06_630" localSheetId="2">#REF!</definedName>
    <definedName name="F_06_630">#REF!</definedName>
    <definedName name="F_06_660" localSheetId="2">#REF!</definedName>
    <definedName name="F_06_660">#REF!</definedName>
    <definedName name="F_06_690" localSheetId="2">#REF!</definedName>
    <definedName name="F_06_690">#REF!</definedName>
    <definedName name="F_06_720" localSheetId="2">#REF!</definedName>
    <definedName name="F_06_720">#REF!</definedName>
    <definedName name="F_06_90" localSheetId="2">#REF!</definedName>
    <definedName name="F_06_90">#REF!</definedName>
    <definedName name="F_07_120" localSheetId="2">#REF!</definedName>
    <definedName name="F_07_120">#REF!</definedName>
    <definedName name="F_07_150" localSheetId="2">#REF!</definedName>
    <definedName name="F_07_150">#REF!</definedName>
    <definedName name="F_07_180" localSheetId="2">#REF!</definedName>
    <definedName name="F_07_180">#REF!</definedName>
    <definedName name="F_07_210" localSheetId="2">#REF!</definedName>
    <definedName name="F_07_210">#REF!</definedName>
    <definedName name="F_07_240" localSheetId="2">#REF!</definedName>
    <definedName name="F_07_240">#REF!</definedName>
    <definedName name="F_07_270" localSheetId="2">#REF!</definedName>
    <definedName name="F_07_270">#REF!</definedName>
    <definedName name="F_07_30" localSheetId="2">#REF!</definedName>
    <definedName name="F_07_30">#REF!</definedName>
    <definedName name="F_07_300" localSheetId="2">#REF!</definedName>
    <definedName name="F_07_300">#REF!</definedName>
    <definedName name="F_07_330" localSheetId="2">#REF!</definedName>
    <definedName name="F_07_330">#REF!</definedName>
    <definedName name="F_07_360" localSheetId="2">#REF!</definedName>
    <definedName name="F_07_360">#REF!</definedName>
    <definedName name="F_07_390" localSheetId="2">#REF!</definedName>
    <definedName name="F_07_390">#REF!</definedName>
    <definedName name="F_07_420" localSheetId="2">#REF!</definedName>
    <definedName name="F_07_420">#REF!</definedName>
    <definedName name="F_07_450" localSheetId="2">#REF!</definedName>
    <definedName name="F_07_450">#REF!</definedName>
    <definedName name="F_07_480" localSheetId="2">#REF!</definedName>
    <definedName name="F_07_480">#REF!</definedName>
    <definedName name="F_07_510" localSheetId="2">#REF!</definedName>
    <definedName name="F_07_510">#REF!</definedName>
    <definedName name="F_07_540" localSheetId="2">#REF!</definedName>
    <definedName name="F_07_540">#REF!</definedName>
    <definedName name="F_07_570" localSheetId="2">#REF!</definedName>
    <definedName name="F_07_570">#REF!</definedName>
    <definedName name="F_07_60" localSheetId="2">#REF!</definedName>
    <definedName name="F_07_60">#REF!</definedName>
    <definedName name="F_07_600" localSheetId="2">#REF!</definedName>
    <definedName name="F_07_600">#REF!</definedName>
    <definedName name="F_07_630" localSheetId="2">#REF!</definedName>
    <definedName name="F_07_630">#REF!</definedName>
    <definedName name="F_07_660" localSheetId="2">#REF!</definedName>
    <definedName name="F_07_660">#REF!</definedName>
    <definedName name="F_07_690" localSheetId="2">#REF!</definedName>
    <definedName name="F_07_690">#REF!</definedName>
    <definedName name="F_07_720" localSheetId="2">#REF!</definedName>
    <definedName name="F_07_720">#REF!</definedName>
    <definedName name="F_07_90" localSheetId="2">#REF!</definedName>
    <definedName name="F_07_90">#REF!</definedName>
    <definedName name="F_08_120" localSheetId="2">#REF!</definedName>
    <definedName name="F_08_120">#REF!</definedName>
    <definedName name="F_08_150" localSheetId="2">#REF!</definedName>
    <definedName name="F_08_150">#REF!</definedName>
    <definedName name="F_08_180" localSheetId="2">#REF!</definedName>
    <definedName name="F_08_180">#REF!</definedName>
    <definedName name="F_08_210" localSheetId="2">#REF!</definedName>
    <definedName name="F_08_210">#REF!</definedName>
    <definedName name="F_08_240" localSheetId="2">#REF!</definedName>
    <definedName name="F_08_240">#REF!</definedName>
    <definedName name="F_08_270" localSheetId="2">#REF!</definedName>
    <definedName name="F_08_270">#REF!</definedName>
    <definedName name="F_08_30" localSheetId="2">#REF!</definedName>
    <definedName name="F_08_30">#REF!</definedName>
    <definedName name="F_08_300" localSheetId="2">#REF!</definedName>
    <definedName name="F_08_300">#REF!</definedName>
    <definedName name="F_08_330" localSheetId="2">#REF!</definedName>
    <definedName name="F_08_330">#REF!</definedName>
    <definedName name="F_08_360" localSheetId="2">#REF!</definedName>
    <definedName name="F_08_360">#REF!</definedName>
    <definedName name="F_08_390" localSheetId="2">#REF!</definedName>
    <definedName name="F_08_390">#REF!</definedName>
    <definedName name="F_08_420" localSheetId="2">#REF!</definedName>
    <definedName name="F_08_420">#REF!</definedName>
    <definedName name="F_08_450" localSheetId="2">#REF!</definedName>
    <definedName name="F_08_450">#REF!</definedName>
    <definedName name="F_08_480" localSheetId="2">#REF!</definedName>
    <definedName name="F_08_480">#REF!</definedName>
    <definedName name="F_08_510" localSheetId="2">#REF!</definedName>
    <definedName name="F_08_510">#REF!</definedName>
    <definedName name="F_08_540" localSheetId="2">#REF!</definedName>
    <definedName name="F_08_540">#REF!</definedName>
    <definedName name="F_08_570" localSheetId="2">#REF!</definedName>
    <definedName name="F_08_570">#REF!</definedName>
    <definedName name="F_08_60" localSheetId="2">#REF!</definedName>
    <definedName name="F_08_60">#REF!</definedName>
    <definedName name="F_08_600" localSheetId="2">#REF!</definedName>
    <definedName name="F_08_600">#REF!</definedName>
    <definedName name="F_08_630" localSheetId="2">#REF!</definedName>
    <definedName name="F_08_630">#REF!</definedName>
    <definedName name="F_08_660" localSheetId="2">#REF!</definedName>
    <definedName name="F_08_660">#REF!</definedName>
    <definedName name="F_08_690" localSheetId="2">#REF!</definedName>
    <definedName name="F_08_690">#REF!</definedName>
    <definedName name="F_08_720" localSheetId="2">#REF!</definedName>
    <definedName name="F_08_720">#REF!</definedName>
    <definedName name="F_08_90" localSheetId="2">#REF!</definedName>
    <definedName name="F_08_90">#REF!</definedName>
    <definedName name="F_09_120" localSheetId="2">#REF!</definedName>
    <definedName name="F_09_120">#REF!</definedName>
    <definedName name="F_09_150" localSheetId="2">#REF!</definedName>
    <definedName name="F_09_150">#REF!</definedName>
    <definedName name="F_09_180" localSheetId="2">#REF!</definedName>
    <definedName name="F_09_180">#REF!</definedName>
    <definedName name="F_09_210" localSheetId="2">#REF!</definedName>
    <definedName name="F_09_210">#REF!</definedName>
    <definedName name="F_09_240" localSheetId="2">#REF!</definedName>
    <definedName name="F_09_240">#REF!</definedName>
    <definedName name="F_09_270" localSheetId="2">#REF!</definedName>
    <definedName name="F_09_270">#REF!</definedName>
    <definedName name="F_09_30" localSheetId="2">#REF!</definedName>
    <definedName name="F_09_30">#REF!</definedName>
    <definedName name="F_09_300" localSheetId="2">#REF!</definedName>
    <definedName name="F_09_300">#REF!</definedName>
    <definedName name="F_09_330" localSheetId="2">#REF!</definedName>
    <definedName name="F_09_330">#REF!</definedName>
    <definedName name="F_09_360" localSheetId="2">#REF!</definedName>
    <definedName name="F_09_360">#REF!</definedName>
    <definedName name="F_09_390" localSheetId="2">#REF!</definedName>
    <definedName name="F_09_390">#REF!</definedName>
    <definedName name="F_09_420" localSheetId="2">#REF!</definedName>
    <definedName name="F_09_420">#REF!</definedName>
    <definedName name="F_09_450" localSheetId="2">#REF!</definedName>
    <definedName name="F_09_450">#REF!</definedName>
    <definedName name="F_09_480" localSheetId="2">#REF!</definedName>
    <definedName name="F_09_480">#REF!</definedName>
    <definedName name="F_09_510" localSheetId="2">#REF!</definedName>
    <definedName name="F_09_510">#REF!</definedName>
    <definedName name="F_09_540" localSheetId="2">#REF!</definedName>
    <definedName name="F_09_540">#REF!</definedName>
    <definedName name="F_09_570" localSheetId="2">#REF!</definedName>
    <definedName name="F_09_570">#REF!</definedName>
    <definedName name="F_09_60" localSheetId="2">#REF!</definedName>
    <definedName name="F_09_60">#REF!</definedName>
    <definedName name="F_09_600" localSheetId="2">#REF!</definedName>
    <definedName name="F_09_600">#REF!</definedName>
    <definedName name="F_09_630" localSheetId="2">#REF!</definedName>
    <definedName name="F_09_630">#REF!</definedName>
    <definedName name="F_09_660" localSheetId="2">#REF!</definedName>
    <definedName name="F_09_660">#REF!</definedName>
    <definedName name="F_09_690" localSheetId="2">#REF!</definedName>
    <definedName name="F_09_690">#REF!</definedName>
    <definedName name="F_09_720" localSheetId="2">#REF!</definedName>
    <definedName name="F_09_720">#REF!</definedName>
    <definedName name="F_09_90" localSheetId="2">#REF!</definedName>
    <definedName name="F_09_90">#REF!</definedName>
    <definedName name="F_10_120" localSheetId="2">#REF!</definedName>
    <definedName name="F_10_120">#REF!</definedName>
    <definedName name="F_10_150" localSheetId="2">#REF!</definedName>
    <definedName name="F_10_150">#REF!</definedName>
    <definedName name="F_10_180" localSheetId="2">#REF!</definedName>
    <definedName name="F_10_180">#REF!</definedName>
    <definedName name="F_10_210" localSheetId="2">#REF!</definedName>
    <definedName name="F_10_210">#REF!</definedName>
    <definedName name="F_10_240" localSheetId="2">#REF!</definedName>
    <definedName name="F_10_240">#REF!</definedName>
    <definedName name="F_10_270" localSheetId="2">#REF!</definedName>
    <definedName name="F_10_270">#REF!</definedName>
    <definedName name="F_10_30" localSheetId="2">#REF!</definedName>
    <definedName name="F_10_30">#REF!</definedName>
    <definedName name="F_10_300" localSheetId="2">#REF!</definedName>
    <definedName name="F_10_300">#REF!</definedName>
    <definedName name="F_10_330" localSheetId="2">#REF!</definedName>
    <definedName name="F_10_330">#REF!</definedName>
    <definedName name="F_10_360" localSheetId="2">#REF!</definedName>
    <definedName name="F_10_360">#REF!</definedName>
    <definedName name="F_10_390" localSheetId="2">#REF!</definedName>
    <definedName name="F_10_390">#REF!</definedName>
    <definedName name="F_10_420" localSheetId="2">#REF!</definedName>
    <definedName name="F_10_420">#REF!</definedName>
    <definedName name="F_10_450" localSheetId="2">#REF!</definedName>
    <definedName name="F_10_450">#REF!</definedName>
    <definedName name="F_10_480" localSheetId="2">#REF!</definedName>
    <definedName name="F_10_480">#REF!</definedName>
    <definedName name="F_10_510" localSheetId="2">#REF!</definedName>
    <definedName name="F_10_510">#REF!</definedName>
    <definedName name="F_10_540" localSheetId="2">#REF!</definedName>
    <definedName name="F_10_540">#REF!</definedName>
    <definedName name="F_10_570" localSheetId="2">#REF!</definedName>
    <definedName name="F_10_570">#REF!</definedName>
    <definedName name="F_10_60" localSheetId="2">#REF!</definedName>
    <definedName name="F_10_60">#REF!</definedName>
    <definedName name="F_10_600" localSheetId="2">#REF!</definedName>
    <definedName name="F_10_600">#REF!</definedName>
    <definedName name="F_10_630" localSheetId="2">#REF!</definedName>
    <definedName name="F_10_630">#REF!</definedName>
    <definedName name="F_10_660" localSheetId="2">#REF!</definedName>
    <definedName name="F_10_660">#REF!</definedName>
    <definedName name="F_10_690" localSheetId="2">#REF!</definedName>
    <definedName name="F_10_690">#REF!</definedName>
    <definedName name="F_10_720" localSheetId="2">#REF!</definedName>
    <definedName name="F_10_720">#REF!</definedName>
    <definedName name="F_10_90" localSheetId="2">#REF!</definedName>
    <definedName name="F_10_90">#REF!</definedName>
    <definedName name="F_11_120" localSheetId="2">#REF!</definedName>
    <definedName name="F_11_120">#REF!</definedName>
    <definedName name="F_11_150" localSheetId="2">#REF!</definedName>
    <definedName name="F_11_150">#REF!</definedName>
    <definedName name="F_11_180" localSheetId="2">#REF!</definedName>
    <definedName name="F_11_180">#REF!</definedName>
    <definedName name="F_11_210" localSheetId="2">#REF!</definedName>
    <definedName name="F_11_210">#REF!</definedName>
    <definedName name="F_11_240" localSheetId="2">#REF!</definedName>
    <definedName name="F_11_240">#REF!</definedName>
    <definedName name="F_11_270" localSheetId="2">#REF!</definedName>
    <definedName name="F_11_270">#REF!</definedName>
    <definedName name="F_11_30" localSheetId="2">#REF!</definedName>
    <definedName name="F_11_30">#REF!</definedName>
    <definedName name="F_11_300" localSheetId="2">#REF!</definedName>
    <definedName name="F_11_300">#REF!</definedName>
    <definedName name="F_11_330" localSheetId="2">#REF!</definedName>
    <definedName name="F_11_330">#REF!</definedName>
    <definedName name="F_11_360" localSheetId="2">#REF!</definedName>
    <definedName name="F_11_360">#REF!</definedName>
    <definedName name="F_11_390" localSheetId="2">#REF!</definedName>
    <definedName name="F_11_390">#REF!</definedName>
    <definedName name="F_11_420" localSheetId="2">#REF!</definedName>
    <definedName name="F_11_420">#REF!</definedName>
    <definedName name="F_11_450" localSheetId="2">#REF!</definedName>
    <definedName name="F_11_450">#REF!</definedName>
    <definedName name="F_11_480" localSheetId="2">#REF!</definedName>
    <definedName name="F_11_480">#REF!</definedName>
    <definedName name="F_11_510" localSheetId="2">#REF!</definedName>
    <definedName name="F_11_510">#REF!</definedName>
    <definedName name="F_11_540" localSheetId="2">#REF!</definedName>
    <definedName name="F_11_540">#REF!</definedName>
    <definedName name="F_11_570" localSheetId="2">#REF!</definedName>
    <definedName name="F_11_570">#REF!</definedName>
    <definedName name="F_11_60" localSheetId="2">#REF!</definedName>
    <definedName name="F_11_60">#REF!</definedName>
    <definedName name="F_11_600" localSheetId="2">#REF!</definedName>
    <definedName name="F_11_600">#REF!</definedName>
    <definedName name="F_11_630" localSheetId="2">#REF!</definedName>
    <definedName name="F_11_630">#REF!</definedName>
    <definedName name="F_11_660" localSheetId="2">#REF!</definedName>
    <definedName name="F_11_660">#REF!</definedName>
    <definedName name="F_11_690" localSheetId="2">#REF!</definedName>
    <definedName name="F_11_690">#REF!</definedName>
    <definedName name="F_11_720" localSheetId="2">#REF!</definedName>
    <definedName name="F_11_720">#REF!</definedName>
    <definedName name="F_11_90" localSheetId="2">#REF!</definedName>
    <definedName name="F_11_90">#REF!</definedName>
    <definedName name="F_12_120" localSheetId="2">#REF!</definedName>
    <definedName name="F_12_120">#REF!</definedName>
    <definedName name="F_12_150" localSheetId="2">#REF!</definedName>
    <definedName name="F_12_150">#REF!</definedName>
    <definedName name="F_12_180" localSheetId="2">#REF!</definedName>
    <definedName name="F_12_180">#REF!</definedName>
    <definedName name="F_12_210" localSheetId="2">#REF!</definedName>
    <definedName name="F_12_210">#REF!</definedName>
    <definedName name="F_12_240" localSheetId="2">#REF!</definedName>
    <definedName name="F_12_240">#REF!</definedName>
    <definedName name="F_12_270" localSheetId="2">#REF!</definedName>
    <definedName name="F_12_270">#REF!</definedName>
    <definedName name="F_12_30" localSheetId="2">#REF!</definedName>
    <definedName name="F_12_30">#REF!</definedName>
    <definedName name="F_12_300" localSheetId="2">#REF!</definedName>
    <definedName name="F_12_300">#REF!</definedName>
    <definedName name="F_12_330" localSheetId="2">#REF!</definedName>
    <definedName name="F_12_330">#REF!</definedName>
    <definedName name="F_12_360" localSheetId="2">#REF!</definedName>
    <definedName name="F_12_360">#REF!</definedName>
    <definedName name="F_12_390" localSheetId="2">#REF!</definedName>
    <definedName name="F_12_390">#REF!</definedName>
    <definedName name="F_12_420" localSheetId="2">#REF!</definedName>
    <definedName name="F_12_420">#REF!</definedName>
    <definedName name="F_12_450" localSheetId="2">#REF!</definedName>
    <definedName name="F_12_450">#REF!</definedName>
    <definedName name="F_12_480" localSheetId="2">#REF!</definedName>
    <definedName name="F_12_480">#REF!</definedName>
    <definedName name="F_12_510" localSheetId="2">#REF!</definedName>
    <definedName name="F_12_510">#REF!</definedName>
    <definedName name="F_12_540" localSheetId="2">#REF!</definedName>
    <definedName name="F_12_540">#REF!</definedName>
    <definedName name="F_12_570" localSheetId="2">#REF!</definedName>
    <definedName name="F_12_570">#REF!</definedName>
    <definedName name="F_12_60" localSheetId="2">#REF!</definedName>
    <definedName name="F_12_60">#REF!</definedName>
    <definedName name="F_12_600" localSheetId="2">#REF!</definedName>
    <definedName name="F_12_600">#REF!</definedName>
    <definedName name="F_12_630" localSheetId="2">#REF!</definedName>
    <definedName name="F_12_630">#REF!</definedName>
    <definedName name="F_12_660" localSheetId="2">#REF!</definedName>
    <definedName name="F_12_660">#REF!</definedName>
    <definedName name="F_12_690" localSheetId="2">#REF!</definedName>
    <definedName name="F_12_690">#REF!</definedName>
    <definedName name="F_12_720" localSheetId="2">#REF!</definedName>
    <definedName name="F_12_720">#REF!</definedName>
    <definedName name="F_12_90" localSheetId="2">#REF!</definedName>
    <definedName name="F_12_90">#REF!</definedName>
    <definedName name="F_13_120" localSheetId="2">#REF!</definedName>
    <definedName name="F_13_120">#REF!</definedName>
    <definedName name="F_13_150" localSheetId="2">#REF!</definedName>
    <definedName name="F_13_150">#REF!</definedName>
    <definedName name="F_13_180" localSheetId="2">#REF!</definedName>
    <definedName name="F_13_180">#REF!</definedName>
    <definedName name="F_13_210" localSheetId="2">#REF!</definedName>
    <definedName name="F_13_210">#REF!</definedName>
    <definedName name="F_13_240" localSheetId="2">#REF!</definedName>
    <definedName name="F_13_240">#REF!</definedName>
    <definedName name="F_13_270" localSheetId="2">#REF!</definedName>
    <definedName name="F_13_270">#REF!</definedName>
    <definedName name="F_13_30" localSheetId="2">#REF!</definedName>
    <definedName name="F_13_30">#REF!</definedName>
    <definedName name="F_13_300" localSheetId="2">#REF!</definedName>
    <definedName name="F_13_300">#REF!</definedName>
    <definedName name="F_13_330" localSheetId="2">#REF!</definedName>
    <definedName name="F_13_330">#REF!</definedName>
    <definedName name="F_13_360" localSheetId="2">#REF!</definedName>
    <definedName name="F_13_360">#REF!</definedName>
    <definedName name="F_13_390" localSheetId="2">#REF!</definedName>
    <definedName name="F_13_390">#REF!</definedName>
    <definedName name="F_13_420" localSheetId="2">#REF!</definedName>
    <definedName name="F_13_420">#REF!</definedName>
    <definedName name="F_13_450" localSheetId="2">#REF!</definedName>
    <definedName name="F_13_450">#REF!</definedName>
    <definedName name="F_13_480" localSheetId="2">#REF!</definedName>
    <definedName name="F_13_480">#REF!</definedName>
    <definedName name="F_13_510" localSheetId="2">#REF!</definedName>
    <definedName name="F_13_510">#REF!</definedName>
    <definedName name="F_13_540" localSheetId="2">#REF!</definedName>
    <definedName name="F_13_540">#REF!</definedName>
    <definedName name="F_13_570" localSheetId="2">#REF!</definedName>
    <definedName name="F_13_570">#REF!</definedName>
    <definedName name="F_13_60" localSheetId="2">#REF!</definedName>
    <definedName name="F_13_60">#REF!</definedName>
    <definedName name="F_13_600" localSheetId="2">#REF!</definedName>
    <definedName name="F_13_600">#REF!</definedName>
    <definedName name="F_13_630" localSheetId="2">#REF!</definedName>
    <definedName name="F_13_630">#REF!</definedName>
    <definedName name="F_13_660" localSheetId="2">#REF!</definedName>
    <definedName name="F_13_660">#REF!</definedName>
    <definedName name="F_13_690" localSheetId="2">#REF!</definedName>
    <definedName name="F_13_690">#REF!</definedName>
    <definedName name="F_13_720" localSheetId="2">#REF!</definedName>
    <definedName name="F_13_720">#REF!</definedName>
    <definedName name="F_13_90" localSheetId="2">#REF!</definedName>
    <definedName name="F_13_90">#REF!</definedName>
    <definedName name="F_14_120" localSheetId="2">#REF!</definedName>
    <definedName name="F_14_120">#REF!</definedName>
    <definedName name="F_14_150" localSheetId="2">#REF!</definedName>
    <definedName name="F_14_150">#REF!</definedName>
    <definedName name="F_14_180" localSheetId="2">#REF!</definedName>
    <definedName name="F_14_180">#REF!</definedName>
    <definedName name="F_14_210" localSheetId="2">#REF!</definedName>
    <definedName name="F_14_210">#REF!</definedName>
    <definedName name="F_14_240" localSheetId="2">#REF!</definedName>
    <definedName name="F_14_240">#REF!</definedName>
    <definedName name="F_14_270" localSheetId="2">#REF!</definedName>
    <definedName name="F_14_270">#REF!</definedName>
    <definedName name="F_14_30" localSheetId="2">#REF!</definedName>
    <definedName name="F_14_30">#REF!</definedName>
    <definedName name="F_14_300" localSheetId="2">#REF!</definedName>
    <definedName name="F_14_300">#REF!</definedName>
    <definedName name="F_14_330" localSheetId="2">#REF!</definedName>
    <definedName name="F_14_330">#REF!</definedName>
    <definedName name="F_14_360" localSheetId="2">#REF!</definedName>
    <definedName name="F_14_360">#REF!</definedName>
    <definedName name="F_14_390" localSheetId="2">#REF!</definedName>
    <definedName name="F_14_390">#REF!</definedName>
    <definedName name="F_14_420" localSheetId="2">#REF!</definedName>
    <definedName name="F_14_420">#REF!</definedName>
    <definedName name="F_14_450" localSheetId="2">#REF!</definedName>
    <definedName name="F_14_450">#REF!</definedName>
    <definedName name="F_14_480" localSheetId="2">#REF!</definedName>
    <definedName name="F_14_480">#REF!</definedName>
    <definedName name="F_14_510" localSheetId="2">#REF!</definedName>
    <definedName name="F_14_510">#REF!</definedName>
    <definedName name="F_14_540" localSheetId="2">#REF!</definedName>
    <definedName name="F_14_540">#REF!</definedName>
    <definedName name="F_14_570" localSheetId="2">#REF!</definedName>
    <definedName name="F_14_570">#REF!</definedName>
    <definedName name="F_14_60" localSheetId="2">#REF!</definedName>
    <definedName name="F_14_60">#REF!</definedName>
    <definedName name="F_14_600" localSheetId="2">#REF!</definedName>
    <definedName name="F_14_600">#REF!</definedName>
    <definedName name="F_14_630" localSheetId="2">#REF!</definedName>
    <definedName name="F_14_630">#REF!</definedName>
    <definedName name="F_14_660" localSheetId="2">#REF!</definedName>
    <definedName name="F_14_660">#REF!</definedName>
    <definedName name="F_14_690" localSheetId="2">#REF!</definedName>
    <definedName name="F_14_690">#REF!</definedName>
    <definedName name="F_14_720" localSheetId="2">#REF!</definedName>
    <definedName name="F_14_720">#REF!</definedName>
    <definedName name="F_14_90" localSheetId="2">#REF!</definedName>
    <definedName name="F_14_90">#REF!</definedName>
    <definedName name="F_15_120" localSheetId="2">#REF!</definedName>
    <definedName name="F_15_120">#REF!</definedName>
    <definedName name="F_15_150" localSheetId="2">#REF!</definedName>
    <definedName name="F_15_150">#REF!</definedName>
    <definedName name="F_15_180" localSheetId="2">#REF!</definedName>
    <definedName name="F_15_180">#REF!</definedName>
    <definedName name="F_15_210" localSheetId="2">#REF!</definedName>
    <definedName name="F_15_210">#REF!</definedName>
    <definedName name="F_15_240" localSheetId="2">#REF!</definedName>
    <definedName name="F_15_240">#REF!</definedName>
    <definedName name="F_15_270" localSheetId="2">#REF!</definedName>
    <definedName name="F_15_270">#REF!</definedName>
    <definedName name="F_15_30" localSheetId="2">#REF!</definedName>
    <definedName name="F_15_30">#REF!</definedName>
    <definedName name="F_15_300" localSheetId="2">#REF!</definedName>
    <definedName name="F_15_300">#REF!</definedName>
    <definedName name="F_15_330" localSheetId="2">#REF!</definedName>
    <definedName name="F_15_330">#REF!</definedName>
    <definedName name="F_15_360" localSheetId="2">#REF!</definedName>
    <definedName name="F_15_360">#REF!</definedName>
    <definedName name="F_15_390" localSheetId="2">#REF!</definedName>
    <definedName name="F_15_390">#REF!</definedName>
    <definedName name="F_15_420" localSheetId="2">#REF!</definedName>
    <definedName name="F_15_420">#REF!</definedName>
    <definedName name="F_15_450" localSheetId="2">#REF!</definedName>
    <definedName name="F_15_450">#REF!</definedName>
    <definedName name="F_15_480" localSheetId="2">#REF!</definedName>
    <definedName name="F_15_480">#REF!</definedName>
    <definedName name="F_15_510" localSheetId="2">#REF!</definedName>
    <definedName name="F_15_510">#REF!</definedName>
    <definedName name="F_15_540" localSheetId="2">#REF!</definedName>
    <definedName name="F_15_540">#REF!</definedName>
    <definedName name="F_15_570" localSheetId="2">#REF!</definedName>
    <definedName name="F_15_570">#REF!</definedName>
    <definedName name="F_15_60" localSheetId="2">#REF!</definedName>
    <definedName name="F_15_60">#REF!</definedName>
    <definedName name="F_15_600" localSheetId="2">#REF!</definedName>
    <definedName name="F_15_600">#REF!</definedName>
    <definedName name="F_15_630" localSheetId="2">#REF!</definedName>
    <definedName name="F_15_630">#REF!</definedName>
    <definedName name="F_15_660" localSheetId="2">#REF!</definedName>
    <definedName name="F_15_660">#REF!</definedName>
    <definedName name="F_15_690" localSheetId="2">#REF!</definedName>
    <definedName name="F_15_690">#REF!</definedName>
    <definedName name="F_15_720" localSheetId="2">#REF!</definedName>
    <definedName name="F_15_720">#REF!</definedName>
    <definedName name="F_15_90" localSheetId="2">#REF!</definedName>
    <definedName name="F_15_90">#REF!</definedName>
    <definedName name="F_16_120" localSheetId="2">#REF!</definedName>
    <definedName name="F_16_120">#REF!</definedName>
    <definedName name="F_16_150" localSheetId="2">#REF!</definedName>
    <definedName name="F_16_150">#REF!</definedName>
    <definedName name="F_16_180" localSheetId="2">#REF!</definedName>
    <definedName name="F_16_180">#REF!</definedName>
    <definedName name="F_16_210" localSheetId="2">#REF!</definedName>
    <definedName name="F_16_210">#REF!</definedName>
    <definedName name="F_16_240" localSheetId="2">#REF!</definedName>
    <definedName name="F_16_240">#REF!</definedName>
    <definedName name="F_16_270" localSheetId="2">#REF!</definedName>
    <definedName name="F_16_270">#REF!</definedName>
    <definedName name="F_16_30" localSheetId="2">#REF!</definedName>
    <definedName name="F_16_30">#REF!</definedName>
    <definedName name="F_16_300" localSheetId="2">#REF!</definedName>
    <definedName name="F_16_300">#REF!</definedName>
    <definedName name="F_16_330" localSheetId="2">#REF!</definedName>
    <definedName name="F_16_330">#REF!</definedName>
    <definedName name="F_16_360" localSheetId="2">#REF!</definedName>
    <definedName name="F_16_360">#REF!</definedName>
    <definedName name="F_16_390" localSheetId="2">#REF!</definedName>
    <definedName name="F_16_390">#REF!</definedName>
    <definedName name="F_16_420" localSheetId="2">#REF!</definedName>
    <definedName name="F_16_420">#REF!</definedName>
    <definedName name="F_16_450" localSheetId="2">#REF!</definedName>
    <definedName name="F_16_450">#REF!</definedName>
    <definedName name="F_16_480" localSheetId="2">#REF!</definedName>
    <definedName name="F_16_480">#REF!</definedName>
    <definedName name="F_16_510" localSheetId="2">#REF!</definedName>
    <definedName name="F_16_510">#REF!</definedName>
    <definedName name="F_16_540" localSheetId="2">#REF!</definedName>
    <definedName name="F_16_540">#REF!</definedName>
    <definedName name="F_16_570" localSheetId="2">#REF!</definedName>
    <definedName name="F_16_570">#REF!</definedName>
    <definedName name="F_16_60" localSheetId="2">#REF!</definedName>
    <definedName name="F_16_60">#REF!</definedName>
    <definedName name="F_16_600" localSheetId="2">#REF!</definedName>
    <definedName name="F_16_600">#REF!</definedName>
    <definedName name="F_16_630" localSheetId="2">#REF!</definedName>
    <definedName name="F_16_630">#REF!</definedName>
    <definedName name="F_16_660" localSheetId="2">#REF!</definedName>
    <definedName name="F_16_660">#REF!</definedName>
    <definedName name="F_16_690" localSheetId="2">#REF!</definedName>
    <definedName name="F_16_690">#REF!</definedName>
    <definedName name="F_16_720" localSheetId="2">#REF!</definedName>
    <definedName name="F_16_720">#REF!</definedName>
    <definedName name="F_16_90" localSheetId="2">#REF!</definedName>
    <definedName name="F_16_90">#REF!</definedName>
    <definedName name="F_17_120" localSheetId="2">#REF!</definedName>
    <definedName name="F_17_120">#REF!</definedName>
    <definedName name="F_17_150" localSheetId="2">#REF!</definedName>
    <definedName name="F_17_150">#REF!</definedName>
    <definedName name="F_17_180" localSheetId="2">#REF!</definedName>
    <definedName name="F_17_180">#REF!</definedName>
    <definedName name="F_17_210" localSheetId="2">#REF!</definedName>
    <definedName name="F_17_210">#REF!</definedName>
    <definedName name="F_17_240" localSheetId="2">#REF!</definedName>
    <definedName name="F_17_240">#REF!</definedName>
    <definedName name="F_17_270" localSheetId="2">#REF!</definedName>
    <definedName name="F_17_270">#REF!</definedName>
    <definedName name="F_17_30" localSheetId="2">#REF!</definedName>
    <definedName name="F_17_30">#REF!</definedName>
    <definedName name="F_17_300" localSheetId="2">#REF!</definedName>
    <definedName name="F_17_300">#REF!</definedName>
    <definedName name="F_17_330" localSheetId="2">#REF!</definedName>
    <definedName name="F_17_330">#REF!</definedName>
    <definedName name="F_17_360" localSheetId="2">#REF!</definedName>
    <definedName name="F_17_360">#REF!</definedName>
    <definedName name="F_17_390" localSheetId="2">#REF!</definedName>
    <definedName name="F_17_390">#REF!</definedName>
    <definedName name="F_17_420" localSheetId="2">#REF!</definedName>
    <definedName name="F_17_420">#REF!</definedName>
    <definedName name="F_17_450" localSheetId="2">#REF!</definedName>
    <definedName name="F_17_450">#REF!</definedName>
    <definedName name="F_17_480" localSheetId="2">#REF!</definedName>
    <definedName name="F_17_480">#REF!</definedName>
    <definedName name="F_17_510" localSheetId="2">#REF!</definedName>
    <definedName name="F_17_510">#REF!</definedName>
    <definedName name="F_17_540" localSheetId="2">#REF!</definedName>
    <definedName name="F_17_540">#REF!</definedName>
    <definedName name="F_17_570" localSheetId="2">#REF!</definedName>
    <definedName name="F_17_570">#REF!</definedName>
    <definedName name="F_17_60" localSheetId="2">#REF!</definedName>
    <definedName name="F_17_60">#REF!</definedName>
    <definedName name="F_17_600" localSheetId="2">#REF!</definedName>
    <definedName name="F_17_600">#REF!</definedName>
    <definedName name="F_17_630" localSheetId="2">#REF!</definedName>
    <definedName name="F_17_630">#REF!</definedName>
    <definedName name="F_17_660" localSheetId="2">#REF!</definedName>
    <definedName name="F_17_660">#REF!</definedName>
    <definedName name="F_17_690" localSheetId="2">#REF!</definedName>
    <definedName name="F_17_690">#REF!</definedName>
    <definedName name="F_17_720" localSheetId="2">#REF!</definedName>
    <definedName name="F_17_720">#REF!</definedName>
    <definedName name="F_17_90" localSheetId="2">#REF!</definedName>
    <definedName name="F_17_90">#REF!</definedName>
    <definedName name="F_18_120" localSheetId="2">#REF!</definedName>
    <definedName name="F_18_120">#REF!</definedName>
    <definedName name="F_18_150" localSheetId="2">#REF!</definedName>
    <definedName name="F_18_150">#REF!</definedName>
    <definedName name="F_18_180" localSheetId="2">#REF!</definedName>
    <definedName name="F_18_180">#REF!</definedName>
    <definedName name="F_18_210" localSheetId="2">#REF!</definedName>
    <definedName name="F_18_210">#REF!</definedName>
    <definedName name="F_18_240" localSheetId="2">#REF!</definedName>
    <definedName name="F_18_240">#REF!</definedName>
    <definedName name="F_18_270" localSheetId="2">#REF!</definedName>
    <definedName name="F_18_270">#REF!</definedName>
    <definedName name="F_18_30" localSheetId="2">#REF!</definedName>
    <definedName name="F_18_30">#REF!</definedName>
    <definedName name="F_18_300" localSheetId="2">#REF!</definedName>
    <definedName name="F_18_300">#REF!</definedName>
    <definedName name="F_18_330" localSheetId="2">#REF!</definedName>
    <definedName name="F_18_330">#REF!</definedName>
    <definedName name="F_18_360" localSheetId="2">#REF!</definedName>
    <definedName name="F_18_360">#REF!</definedName>
    <definedName name="F_18_390" localSheetId="2">#REF!</definedName>
    <definedName name="F_18_390">#REF!</definedName>
    <definedName name="F_18_420" localSheetId="2">#REF!</definedName>
    <definedName name="F_18_420">#REF!</definedName>
    <definedName name="F_18_450" localSheetId="2">#REF!</definedName>
    <definedName name="F_18_450">#REF!</definedName>
    <definedName name="F_18_480" localSheetId="2">#REF!</definedName>
    <definedName name="F_18_480">#REF!</definedName>
    <definedName name="F_18_510" localSheetId="2">#REF!</definedName>
    <definedName name="F_18_510">#REF!</definedName>
    <definedName name="F_18_540" localSheetId="2">#REF!</definedName>
    <definedName name="F_18_540">#REF!</definedName>
    <definedName name="F_18_570" localSheetId="2">#REF!</definedName>
    <definedName name="F_18_570">#REF!</definedName>
    <definedName name="F_18_60" localSheetId="2">#REF!</definedName>
    <definedName name="F_18_60">#REF!</definedName>
    <definedName name="F_18_600" localSheetId="2">#REF!</definedName>
    <definedName name="F_18_600">#REF!</definedName>
    <definedName name="F_18_630" localSheetId="2">#REF!</definedName>
    <definedName name="F_18_630">#REF!</definedName>
    <definedName name="F_18_660" localSheetId="2">#REF!</definedName>
    <definedName name="F_18_660">#REF!</definedName>
    <definedName name="F_18_690" localSheetId="2">#REF!</definedName>
    <definedName name="F_18_690">#REF!</definedName>
    <definedName name="F_18_720" localSheetId="2">#REF!</definedName>
    <definedName name="F_18_720">#REF!</definedName>
    <definedName name="F_18_90" localSheetId="2">#REF!</definedName>
    <definedName name="F_18_90">#REF!</definedName>
    <definedName name="F_19_120" localSheetId="2">#REF!</definedName>
    <definedName name="F_19_120">#REF!</definedName>
    <definedName name="F_19_150" localSheetId="2">#REF!</definedName>
    <definedName name="F_19_150">#REF!</definedName>
    <definedName name="F_19_180" localSheetId="2">#REF!</definedName>
    <definedName name="F_19_180">#REF!</definedName>
    <definedName name="F_19_210" localSheetId="2">#REF!</definedName>
    <definedName name="F_19_210">#REF!</definedName>
    <definedName name="F_19_240" localSheetId="2">#REF!</definedName>
    <definedName name="F_19_240">#REF!</definedName>
    <definedName name="F_19_270" localSheetId="2">#REF!</definedName>
    <definedName name="F_19_270">#REF!</definedName>
    <definedName name="F_19_30" localSheetId="2">#REF!</definedName>
    <definedName name="F_19_30">#REF!</definedName>
    <definedName name="F_19_300" localSheetId="2">#REF!</definedName>
    <definedName name="F_19_300">#REF!</definedName>
    <definedName name="F_19_330" localSheetId="2">#REF!</definedName>
    <definedName name="F_19_330">#REF!</definedName>
    <definedName name="F_19_360" localSheetId="2">#REF!</definedName>
    <definedName name="F_19_360">#REF!</definedName>
    <definedName name="F_19_390" localSheetId="2">#REF!</definedName>
    <definedName name="F_19_390">#REF!</definedName>
    <definedName name="F_19_420" localSheetId="2">#REF!</definedName>
    <definedName name="F_19_420">#REF!</definedName>
    <definedName name="F_19_450" localSheetId="2">#REF!</definedName>
    <definedName name="F_19_450">#REF!</definedName>
    <definedName name="F_19_480" localSheetId="2">#REF!</definedName>
    <definedName name="F_19_480">#REF!</definedName>
    <definedName name="F_19_510" localSheetId="2">#REF!</definedName>
    <definedName name="F_19_510">#REF!</definedName>
    <definedName name="F_19_540" localSheetId="2">#REF!</definedName>
    <definedName name="F_19_540">#REF!</definedName>
    <definedName name="F_19_570" localSheetId="2">#REF!</definedName>
    <definedName name="F_19_570">#REF!</definedName>
    <definedName name="F_19_60" localSheetId="2">#REF!</definedName>
    <definedName name="F_19_60">#REF!</definedName>
    <definedName name="F_19_600" localSheetId="2">#REF!</definedName>
    <definedName name="F_19_600">#REF!</definedName>
    <definedName name="F_19_630" localSheetId="2">#REF!</definedName>
    <definedName name="F_19_630">#REF!</definedName>
    <definedName name="F_19_660" localSheetId="2">#REF!</definedName>
    <definedName name="F_19_660">#REF!</definedName>
    <definedName name="F_19_690" localSheetId="2">#REF!</definedName>
    <definedName name="F_19_690">#REF!</definedName>
    <definedName name="F_19_720" localSheetId="2">#REF!</definedName>
    <definedName name="F_19_720">#REF!</definedName>
    <definedName name="F_19_90" localSheetId="2">#REF!</definedName>
    <definedName name="F_19_90">#REF!</definedName>
    <definedName name="F_20_120" localSheetId="2">#REF!</definedName>
    <definedName name="F_20_120">#REF!</definedName>
    <definedName name="F_20_150" localSheetId="2">#REF!</definedName>
    <definedName name="F_20_150">#REF!</definedName>
    <definedName name="F_20_180" localSheetId="2">#REF!</definedName>
    <definedName name="F_20_180">#REF!</definedName>
    <definedName name="F_20_210" localSheetId="2">#REF!</definedName>
    <definedName name="F_20_210">#REF!</definedName>
    <definedName name="F_20_240" localSheetId="2">#REF!</definedName>
    <definedName name="F_20_240">#REF!</definedName>
    <definedName name="F_20_270" localSheetId="2">#REF!</definedName>
    <definedName name="F_20_270">#REF!</definedName>
    <definedName name="F_20_30" localSheetId="2">#REF!</definedName>
    <definedName name="F_20_30">#REF!</definedName>
    <definedName name="F_20_300" localSheetId="2">#REF!</definedName>
    <definedName name="F_20_300">#REF!</definedName>
    <definedName name="F_20_330" localSheetId="2">#REF!</definedName>
    <definedName name="F_20_330">#REF!</definedName>
    <definedName name="F_20_360" localSheetId="2">#REF!</definedName>
    <definedName name="F_20_360">#REF!</definedName>
    <definedName name="F_20_390" localSheetId="2">#REF!</definedName>
    <definedName name="F_20_390">#REF!</definedName>
    <definedName name="F_20_420" localSheetId="2">#REF!</definedName>
    <definedName name="F_20_420">#REF!</definedName>
    <definedName name="F_20_450" localSheetId="2">#REF!</definedName>
    <definedName name="F_20_450">#REF!</definedName>
    <definedName name="F_20_480" localSheetId="2">#REF!</definedName>
    <definedName name="F_20_480">#REF!</definedName>
    <definedName name="F_20_510" localSheetId="2">#REF!</definedName>
    <definedName name="F_20_510">#REF!</definedName>
    <definedName name="F_20_540" localSheetId="2">#REF!</definedName>
    <definedName name="F_20_540">#REF!</definedName>
    <definedName name="F_20_570" localSheetId="2">#REF!</definedName>
    <definedName name="F_20_570">#REF!</definedName>
    <definedName name="F_20_60" localSheetId="2">#REF!</definedName>
    <definedName name="F_20_60">#REF!</definedName>
    <definedName name="F_20_600" localSheetId="2">#REF!</definedName>
    <definedName name="F_20_600">#REF!</definedName>
    <definedName name="F_20_630" localSheetId="2">#REF!</definedName>
    <definedName name="F_20_630">#REF!</definedName>
    <definedName name="F_20_660" localSheetId="2">#REF!</definedName>
    <definedName name="F_20_660">#REF!</definedName>
    <definedName name="F_20_690" localSheetId="2">#REF!</definedName>
    <definedName name="F_20_690">#REF!</definedName>
    <definedName name="F_20_720" localSheetId="2">#REF!</definedName>
    <definedName name="F_20_720">#REF!</definedName>
    <definedName name="F_20_90" localSheetId="2">#REF!</definedName>
    <definedName name="F_20_90">#REF!</definedName>
    <definedName name="GABARITO" localSheetId="2">#REF!</definedName>
    <definedName name="GABARITO">#REF!</definedName>
    <definedName name="gen" localSheetId="9">#REF!</definedName>
    <definedName name="gen" localSheetId="2">#REF!</definedName>
    <definedName name="gen">#REF!</definedName>
    <definedName name="GERAL" localSheetId="9">#REF!</definedName>
    <definedName name="GERAL" localSheetId="2">#REF!</definedName>
    <definedName name="GERAL">#REF!</definedName>
    <definedName name="gvggg" localSheetId="2">'[1]Bm 8'!#REF!</definedName>
    <definedName name="gvggg">'[1]Bm 8'!#REF!</definedName>
    <definedName name="I" localSheetId="2" hidden="1">[6]Poço!#REF!</definedName>
    <definedName name="I" hidden="1">[6]Poço!#REF!</definedName>
    <definedName name="INSUMOS" localSheetId="9">#REF!</definedName>
    <definedName name="INSUMOS" localSheetId="2">#REF!</definedName>
    <definedName name="INSUMOS">#REF!</definedName>
    <definedName name="ITAPECURU" localSheetId="9">#REF!</definedName>
    <definedName name="ITAPECURU" localSheetId="2">#REF!</definedName>
    <definedName name="ITAPECURU">#REF!</definedName>
    <definedName name="ITEM" localSheetId="9">#REF!</definedName>
    <definedName name="ITEM" localSheetId="2">#REF!</definedName>
    <definedName name="ITEM">#REF!</definedName>
    <definedName name="JARACATY" localSheetId="9">#REF!</definedName>
    <definedName name="JARACATY" localSheetId="2">#REF!</definedName>
    <definedName name="JARACATY">#REF!</definedName>
    <definedName name="JTJ" localSheetId="9">#REF!</definedName>
    <definedName name="JTJ" localSheetId="2">#REF!</definedName>
    <definedName name="JTJ">#REF!</definedName>
    <definedName name="K1geral" localSheetId="2">'[7]PLANILHA QUANTITATIVA'!#REF!</definedName>
    <definedName name="K1geral">'[7]PLANILHA QUANTITATIVA'!#REF!</definedName>
    <definedName name="LAGO_DA_PEDRA" localSheetId="9">#REF!</definedName>
    <definedName name="LAGO_DA_PEDRA" localSheetId="2">#REF!</definedName>
    <definedName name="LAGO_DA_PEDRA">#REF!</definedName>
    <definedName name="lista" localSheetId="9">#REF!</definedName>
    <definedName name="lista" localSheetId="2">#REF!</definedName>
    <definedName name="lista">#REF!</definedName>
    <definedName name="lista.coluna" localSheetId="2">#REF!</definedName>
    <definedName name="lista.coluna">#REF!</definedName>
    <definedName name="lista.linha" localSheetId="2">#REF!</definedName>
    <definedName name="lista.linha">#REF!</definedName>
    <definedName name="lista2" localSheetId="9">#REF!</definedName>
    <definedName name="lista2" localSheetId="2">#REF!</definedName>
    <definedName name="lista2">#REF!</definedName>
    <definedName name="Luva_lisa_de_alumínio_diam_20mm" localSheetId="9">#REF!</definedName>
    <definedName name="Luva_lisa_de_alumínio_diam_20mm" localSheetId="2">#REF!</definedName>
    <definedName name="Luva_lisa_de_alumínio_diam_20mm">#REF!</definedName>
    <definedName name="Luva_lisa_de_alumínio_diam_25mm" localSheetId="9">#REF!</definedName>
    <definedName name="Luva_lisa_de_alumínio_diam_25mm" localSheetId="2">#REF!</definedName>
    <definedName name="Luva_lisa_de_alumínio_diam_25mm">#REF!</definedName>
    <definedName name="Luva_lisa_de_alumínio_diam_32mm" localSheetId="9">#REF!</definedName>
    <definedName name="Luva_lisa_de_alumínio_diam_32mm" localSheetId="2">#REF!</definedName>
    <definedName name="Luva_lisa_de_alumínio_diam_32mm">#REF!</definedName>
    <definedName name="MAT" localSheetId="9">#REF!</definedName>
    <definedName name="MAT" localSheetId="2">#REF!</definedName>
    <definedName name="MAT">#REF!</definedName>
    <definedName name="Meses">"al!$A$26:$G$31;Anual!$I$26:$O$31;Anual!$Q$26:$W$31;Anual!$A$17:$G$22;Anual!$I$17:$O$22;Anual!$Q$17:$W$22;Anual!$Q$8:$W$13;Anual!$I$8:$O$13;Anual!$A$8:$G$13"</definedName>
    <definedName name="MKMKM" localSheetId="2">'[1]Bm 8'!#REF!</definedName>
    <definedName name="MKMKM">'[1]Bm 8'!#REF!</definedName>
    <definedName name="MO" localSheetId="9">#REF!</definedName>
    <definedName name="MO" localSheetId="2">#REF!</definedName>
    <definedName name="MO">#REF!</definedName>
    <definedName name="nil" localSheetId="2">#REF!</definedName>
    <definedName name="nil">#REF!</definedName>
    <definedName name="nr.ag.lote" localSheetId="9">#REF!</definedName>
    <definedName name="nr.ag.lote" localSheetId="2">#REF!</definedName>
    <definedName name="nr.ag.lote">#REF!</definedName>
    <definedName name="nr.ag.lote_1" localSheetId="2">[8]PRINCIPAL!#REF!</definedName>
    <definedName name="nr.ag.lote_1">[8]PRINCIPAL!#REF!</definedName>
    <definedName name="PEDREIRAS" localSheetId="9">#REF!</definedName>
    <definedName name="PEDREIRAS" localSheetId="2">#REF!</definedName>
    <definedName name="PEDREIRAS">#REF!</definedName>
    <definedName name="PINHEIRO" localSheetId="9">#REF!</definedName>
    <definedName name="PINHEIRO" localSheetId="2">#REF!</definedName>
    <definedName name="PINHEIRO">#REF!</definedName>
    <definedName name="PL_ABC" localSheetId="9">#REF!</definedName>
    <definedName name="PL_ABC" localSheetId="2">#REF!</definedName>
    <definedName name="PL_ABC">#REF!</definedName>
    <definedName name="planilha" localSheetId="9">#REF!</definedName>
    <definedName name="planilha" localSheetId="2">#REF!</definedName>
    <definedName name="planilha">#REF!</definedName>
    <definedName name="planuilha" localSheetId="9">#REF!</definedName>
    <definedName name="planuilha" localSheetId="2">#REF!</definedName>
    <definedName name="planuilha">#REF!</definedName>
    <definedName name="portico" localSheetId="9">#REF!</definedName>
    <definedName name="portico" localSheetId="2">#REF!</definedName>
    <definedName name="portico">#REF!</definedName>
    <definedName name="PP1.1" localSheetId="7">'[9]Opção 1'!#REF!</definedName>
    <definedName name="PP1.1" localSheetId="2">'[9]Opção 1'!#REF!</definedName>
    <definedName name="PP1.1">'[9]Opção 1'!#REF!</definedName>
    <definedName name="PP1.10" localSheetId="7">'[9]Opção 1'!#REF!</definedName>
    <definedName name="PP1.10" localSheetId="2">'[9]Opção 1'!#REF!</definedName>
    <definedName name="PP1.10">'[9]Opção 1'!#REF!</definedName>
    <definedName name="PP1.11" localSheetId="7">'[9]Opção 1'!#REF!</definedName>
    <definedName name="PP1.11" localSheetId="2">'[9]Opção 1'!#REF!</definedName>
    <definedName name="PP1.11">'[9]Opção 1'!#REF!</definedName>
    <definedName name="PP1.12" localSheetId="7">'[9]Opção 1'!#REF!</definedName>
    <definedName name="PP1.12" localSheetId="2">'[9]Opção 1'!#REF!</definedName>
    <definedName name="PP1.12">'[9]Opção 1'!#REF!</definedName>
    <definedName name="PP1.13" localSheetId="7">'[9]Opção 1'!#REF!</definedName>
    <definedName name="PP1.13" localSheetId="2">'[9]Opção 1'!#REF!</definedName>
    <definedName name="PP1.13">'[9]Opção 1'!#REF!</definedName>
    <definedName name="PP1.14" localSheetId="7">'[9]Opção 1'!#REF!</definedName>
    <definedName name="PP1.14" localSheetId="2">'[9]Opção 1'!#REF!</definedName>
    <definedName name="PP1.14">'[9]Opção 1'!#REF!</definedName>
    <definedName name="PP1.15" localSheetId="7">'[9]Opção 1'!#REF!</definedName>
    <definedName name="PP1.15" localSheetId="2">'[9]Opção 1'!#REF!</definedName>
    <definedName name="PP1.15">'[9]Opção 1'!#REF!</definedName>
    <definedName name="PP1.2" localSheetId="7">'[9]Opção 1'!#REF!</definedName>
    <definedName name="PP1.2" localSheetId="2">'[9]Opção 1'!#REF!</definedName>
    <definedName name="PP1.2">'[9]Opção 1'!#REF!</definedName>
    <definedName name="PP1.3" localSheetId="7">'[9]Opção 1'!#REF!</definedName>
    <definedName name="PP1.3" localSheetId="2">'[9]Opção 1'!#REF!</definedName>
    <definedName name="PP1.3">'[9]Opção 1'!#REF!</definedName>
    <definedName name="PP1.4" localSheetId="7">'[9]Opção 1'!#REF!</definedName>
    <definedName name="PP1.4" localSheetId="2">'[9]Opção 1'!#REF!</definedName>
    <definedName name="PP1.4">'[9]Opção 1'!#REF!</definedName>
    <definedName name="PP1.5" localSheetId="7">'[9]Opção 1'!#REF!</definedName>
    <definedName name="PP1.5" localSheetId="2">'[9]Opção 1'!#REF!</definedName>
    <definedName name="PP1.5">'[9]Opção 1'!#REF!</definedName>
    <definedName name="PP1.6" localSheetId="7">'[9]Opção 1'!#REF!</definedName>
    <definedName name="PP1.6" localSheetId="2">'[9]Opção 1'!#REF!</definedName>
    <definedName name="PP1.6">'[9]Opção 1'!#REF!</definedName>
    <definedName name="PP1.7" localSheetId="7">'[9]Opção 1'!#REF!</definedName>
    <definedName name="PP1.7" localSheetId="2">'[9]Opção 1'!#REF!</definedName>
    <definedName name="PP1.7">'[9]Opção 1'!#REF!</definedName>
    <definedName name="PP1.8" localSheetId="7">'[9]Opção 1'!#REF!</definedName>
    <definedName name="PP1.8" localSheetId="2">'[9]Opção 1'!#REF!</definedName>
    <definedName name="PP1.8">'[9]Opção 1'!#REF!</definedName>
    <definedName name="PP1.9" localSheetId="7">'[9]Opção 1'!#REF!</definedName>
    <definedName name="PP1.9" localSheetId="2">'[9]Opção 1'!#REF!</definedName>
    <definedName name="PP1.9">'[9]Opção 1'!#REF!</definedName>
    <definedName name="RAN1_2" localSheetId="2">#REF!</definedName>
    <definedName name="RAN1_2">#REF!</definedName>
    <definedName name="RAN1_3" localSheetId="2">#REF!</definedName>
    <definedName name="RAN1_3">#REF!</definedName>
    <definedName name="REATERRO_DE_VALAS_COMPACTADO_MECANICAMENTE" localSheetId="9">#REF!</definedName>
    <definedName name="REATERRO_DE_VALAS_COMPACTADO_MECANICAMENTE" localSheetId="2">#REF!</definedName>
    <definedName name="REATERRO_DE_VALAS_COMPACTADO_MECANICAMENTE">#REF!</definedName>
    <definedName name="RES_CPS" localSheetId="9">#REF!</definedName>
    <definedName name="RES_CPS" localSheetId="2">#REF!</definedName>
    <definedName name="RES_CPS">#REF!</definedName>
    <definedName name="RESVALORES" localSheetId="9">#REF!</definedName>
    <definedName name="RESVALORES" localSheetId="2">#REF!</definedName>
    <definedName name="RESVALORES">#REF!</definedName>
    <definedName name="SANTA_INÊS" localSheetId="9">#REF!</definedName>
    <definedName name="SANTA_INÊS" localSheetId="2">#REF!</definedName>
    <definedName name="SANTA_INÊS">#REF!</definedName>
    <definedName name="SEINFRA" localSheetId="2">#REF!</definedName>
    <definedName name="SEINFRA">#REF!</definedName>
    <definedName name="serv" localSheetId="9">#REF!</definedName>
    <definedName name="serv" localSheetId="2">#REF!</definedName>
    <definedName name="serv">#REF!</definedName>
    <definedName name="SG_01_04" localSheetId="2">'[10]Planilha PROJETISTA'!#REF!</definedName>
    <definedName name="SG_01_04">'[10]Planilha PROJETISTA'!#REF!</definedName>
    <definedName name="SG_01_05" localSheetId="2">'[10]Planilha PROJETISTA'!#REF!</definedName>
    <definedName name="SG_01_05">'[10]Planilha PROJETISTA'!#REF!</definedName>
    <definedName name="SG_01_06" localSheetId="2">'[10]Planilha PROJETISTA'!#REF!</definedName>
    <definedName name="SG_01_06">'[10]Planilha PROJETISTA'!#REF!</definedName>
    <definedName name="SG_01_07" localSheetId="2">'[10]Planilha PROJETISTA'!#REF!</definedName>
    <definedName name="SG_01_07">'[10]Planilha PROJETISTA'!#REF!</definedName>
    <definedName name="SG_01_08" localSheetId="2">'[10]Planilha PROJETISTA'!#REF!</definedName>
    <definedName name="SG_01_08">'[10]Planilha PROJETISTA'!#REF!</definedName>
    <definedName name="SG_01_09" localSheetId="2">'[10]Planilha PROJETISTA'!#REF!</definedName>
    <definedName name="SG_01_09">'[10]Planilha PROJETISTA'!#REF!</definedName>
    <definedName name="SG_01_10" localSheetId="2">'[10]Planilha PROJETISTA'!#REF!</definedName>
    <definedName name="SG_01_10">'[10]Planilha PROJETISTA'!#REF!</definedName>
    <definedName name="SG_01_11" localSheetId="2">'[10]Planilha PROJETISTA'!#REF!</definedName>
    <definedName name="SG_01_11">'[10]Planilha PROJETISTA'!#REF!</definedName>
    <definedName name="SG_01_12" localSheetId="2">'[10]Planilha PROJETISTA'!#REF!</definedName>
    <definedName name="SG_01_12">'[10]Planilha PROJETISTA'!#REF!</definedName>
    <definedName name="SG_01_13" localSheetId="2">'[10]Planilha PROJETISTA'!#REF!</definedName>
    <definedName name="SG_01_13">'[10]Planilha PROJETISTA'!#REF!</definedName>
    <definedName name="SG_01_14" localSheetId="2">'[10]Planilha PROJETISTA'!#REF!</definedName>
    <definedName name="SG_01_14">'[10]Planilha PROJETISTA'!#REF!</definedName>
    <definedName name="SG_01_15" localSheetId="2">'[10]Planilha PROJETISTA'!#REF!</definedName>
    <definedName name="SG_01_15">'[10]Planilha PROJETISTA'!#REF!</definedName>
    <definedName name="SG_01_16" localSheetId="2">'[10]Planilha PROJETISTA'!#REF!</definedName>
    <definedName name="SG_01_16">'[10]Planilha PROJETISTA'!#REF!</definedName>
    <definedName name="SG_01_17" localSheetId="2">'[10]Planilha PROJETISTA'!#REF!</definedName>
    <definedName name="SG_01_17">'[10]Planilha PROJETISTA'!#REF!</definedName>
    <definedName name="SG_01_18" localSheetId="2">'[10]Planilha PROJETISTA'!#REF!</definedName>
    <definedName name="SG_01_18">'[10]Planilha PROJETISTA'!#REF!</definedName>
    <definedName name="SG_01_19" localSheetId="2">'[10]Planilha PROJETISTA'!#REF!</definedName>
    <definedName name="SG_01_19">'[10]Planilha PROJETISTA'!#REF!</definedName>
    <definedName name="SG_01_20" localSheetId="2">'[10]Planilha PROJETISTA'!#REF!</definedName>
    <definedName name="SG_01_20">'[10]Planilha PROJETISTA'!#REF!</definedName>
    <definedName name="SG_02_09" localSheetId="2">'[10]Planilha PROJETISTA'!#REF!</definedName>
    <definedName name="SG_02_09">'[10]Planilha PROJETISTA'!#REF!</definedName>
    <definedName name="SG_02_10" localSheetId="2">'[10]Planilha PROJETISTA'!#REF!</definedName>
    <definedName name="SG_02_10">'[10]Planilha PROJETISTA'!#REF!</definedName>
    <definedName name="SG_02_11" localSheetId="2">'[10]Planilha PROJETISTA'!#REF!</definedName>
    <definedName name="SG_02_11">'[10]Planilha PROJETISTA'!#REF!</definedName>
    <definedName name="SG_02_12" localSheetId="2">'[10]Planilha PROJETISTA'!#REF!</definedName>
    <definedName name="SG_02_12">'[10]Planilha PROJETISTA'!#REF!</definedName>
    <definedName name="SG_02_13" localSheetId="2">'[10]Planilha PROJETISTA'!#REF!</definedName>
    <definedName name="SG_02_13">'[10]Planilha PROJETISTA'!#REF!</definedName>
    <definedName name="SG_02_14" localSheetId="2">'[10]Planilha PROJETISTA'!#REF!</definedName>
    <definedName name="SG_02_14">'[10]Planilha PROJETISTA'!#REF!</definedName>
    <definedName name="SG_02_15" localSheetId="2">'[10]Planilha PROJETISTA'!#REF!</definedName>
    <definedName name="SG_02_15">'[10]Planilha PROJETISTA'!#REF!</definedName>
    <definedName name="SG_02_16" localSheetId="2">'[10]Planilha PROJETISTA'!#REF!</definedName>
    <definedName name="SG_02_16">'[10]Planilha PROJETISTA'!#REF!</definedName>
    <definedName name="SG_02_17" localSheetId="2">'[10]Planilha PROJETISTA'!#REF!</definedName>
    <definedName name="SG_02_17">'[10]Planilha PROJETISTA'!#REF!</definedName>
    <definedName name="SG_02_18" localSheetId="2">'[10]Planilha PROJETISTA'!#REF!</definedName>
    <definedName name="SG_02_18">'[10]Planilha PROJETISTA'!#REF!</definedName>
    <definedName name="SG_02_19" localSheetId="2">'[10]Planilha PROJETISTA'!#REF!</definedName>
    <definedName name="SG_02_19">'[10]Planilha PROJETISTA'!#REF!</definedName>
    <definedName name="SG_02_20" localSheetId="2">'[10]Planilha PROJETISTA'!#REF!</definedName>
    <definedName name="SG_02_20">'[10]Planilha PROJETISTA'!#REF!</definedName>
    <definedName name="SG_03_16" localSheetId="2">'[10]Planilha PROJETISTA'!#REF!</definedName>
    <definedName name="SG_03_16">'[10]Planilha PROJETISTA'!#REF!</definedName>
    <definedName name="SG_03_17" localSheetId="2">'[10]Planilha PROJETISTA'!#REF!</definedName>
    <definedName name="SG_03_17">'[10]Planilha PROJETISTA'!#REF!</definedName>
    <definedName name="SG_03_18" localSheetId="2">'[10]Planilha PROJETISTA'!#REF!</definedName>
    <definedName name="SG_03_18">'[10]Planilha PROJETISTA'!#REF!</definedName>
    <definedName name="SG_03_19" localSheetId="2">'[10]Planilha PROJETISTA'!#REF!</definedName>
    <definedName name="SG_03_19">'[10]Planilha PROJETISTA'!#REF!</definedName>
    <definedName name="SG_03_20" localSheetId="2">'[10]Planilha PROJETISTA'!#REF!</definedName>
    <definedName name="SG_03_20">'[10]Planilha PROJETISTA'!#REF!</definedName>
    <definedName name="SG_04_04" localSheetId="2">'[10]Planilha PROJETISTA'!#REF!</definedName>
    <definedName name="SG_04_04">'[10]Planilha PROJETISTA'!#REF!</definedName>
    <definedName name="SG_04_05" localSheetId="2">'[10]Planilha PROJETISTA'!#REF!</definedName>
    <definedName name="SG_04_05">'[10]Planilha PROJETISTA'!#REF!</definedName>
    <definedName name="SG_04_06" localSheetId="2">'[10]Planilha PROJETISTA'!#REF!</definedName>
    <definedName name="SG_04_06">'[10]Planilha PROJETISTA'!#REF!</definedName>
    <definedName name="SG_04_07" localSheetId="2">'[10]Planilha PROJETISTA'!#REF!</definedName>
    <definedName name="SG_04_07">'[10]Planilha PROJETISTA'!#REF!</definedName>
    <definedName name="SG_04_08" localSheetId="2">'[10]Planilha PROJETISTA'!#REF!</definedName>
    <definedName name="SG_04_08">'[10]Planilha PROJETISTA'!#REF!</definedName>
    <definedName name="SG_04_09" localSheetId="2">'[10]Planilha PROJETISTA'!#REF!</definedName>
    <definedName name="SG_04_09">'[10]Planilha PROJETISTA'!#REF!</definedName>
    <definedName name="SG_04_10" localSheetId="2">'[10]Planilha PROJETISTA'!#REF!</definedName>
    <definedName name="SG_04_10">'[10]Planilha PROJETISTA'!#REF!</definedName>
    <definedName name="SG_04_11" localSheetId="2">'[10]Planilha PROJETISTA'!#REF!</definedName>
    <definedName name="SG_04_11">'[10]Planilha PROJETISTA'!#REF!</definedName>
    <definedName name="SG_04_12" localSheetId="2">'[10]Planilha PROJETISTA'!#REF!</definedName>
    <definedName name="SG_04_12">'[10]Planilha PROJETISTA'!#REF!</definedName>
    <definedName name="SG_04_13" localSheetId="2">'[10]Planilha PROJETISTA'!#REF!</definedName>
    <definedName name="SG_04_13">'[10]Planilha PROJETISTA'!#REF!</definedName>
    <definedName name="SG_04_14" localSheetId="2">'[10]Planilha PROJETISTA'!#REF!</definedName>
    <definedName name="SG_04_14">'[10]Planilha PROJETISTA'!#REF!</definedName>
    <definedName name="SG_04_15" localSheetId="2">'[10]Planilha PROJETISTA'!#REF!</definedName>
    <definedName name="SG_04_15">'[10]Planilha PROJETISTA'!#REF!</definedName>
    <definedName name="SG_04_16" localSheetId="2">'[10]Planilha PROJETISTA'!#REF!</definedName>
    <definedName name="SG_04_16">'[10]Planilha PROJETISTA'!#REF!</definedName>
    <definedName name="SG_04_17" localSheetId="2">'[10]Planilha PROJETISTA'!#REF!</definedName>
    <definedName name="SG_04_17">'[10]Planilha PROJETISTA'!#REF!</definedName>
    <definedName name="SG_04_18" localSheetId="2">'[10]Planilha PROJETISTA'!#REF!</definedName>
    <definedName name="SG_04_18">'[10]Planilha PROJETISTA'!#REF!</definedName>
    <definedName name="SG_04_19" localSheetId="2">'[10]Planilha PROJETISTA'!#REF!</definedName>
    <definedName name="SG_04_19">'[10]Planilha PROJETISTA'!#REF!</definedName>
    <definedName name="SG_04_20" localSheetId="2">'[10]Planilha PROJETISTA'!#REF!</definedName>
    <definedName name="SG_04_20">'[10]Planilha PROJETISTA'!#REF!</definedName>
    <definedName name="SG_05_02" localSheetId="2">'[10]Planilha PROJETISTA'!#REF!</definedName>
    <definedName name="SG_05_02">'[10]Planilha PROJETISTA'!#REF!</definedName>
    <definedName name="SG_05_03" localSheetId="2">'[10]Planilha PROJETISTA'!#REF!</definedName>
    <definedName name="SG_05_03">'[10]Planilha PROJETISTA'!#REF!</definedName>
    <definedName name="SG_05_07" localSheetId="2">'[10]Planilha PROJETISTA'!#REF!</definedName>
    <definedName name="SG_05_07">'[10]Planilha PROJETISTA'!#REF!</definedName>
    <definedName name="SG_05_08" localSheetId="2">'[10]Planilha PROJETISTA'!#REF!</definedName>
    <definedName name="SG_05_08">'[10]Planilha PROJETISTA'!#REF!</definedName>
    <definedName name="SG_05_11" localSheetId="2">'[10]Planilha PROJETISTA'!#REF!</definedName>
    <definedName name="SG_05_11">'[10]Planilha PROJETISTA'!#REF!</definedName>
    <definedName name="SG_05_14" localSheetId="2">'[10]Planilha PROJETISTA'!#REF!</definedName>
    <definedName name="SG_05_14">'[10]Planilha PROJETISTA'!#REF!</definedName>
    <definedName name="SG_05_15" localSheetId="2">'[10]Planilha PROJETISTA'!#REF!</definedName>
    <definedName name="SG_05_15">'[10]Planilha PROJETISTA'!#REF!</definedName>
    <definedName name="SG_05_16" localSheetId="2">'[10]Planilha PROJETISTA'!#REF!</definedName>
    <definedName name="SG_05_16">'[10]Planilha PROJETISTA'!#REF!</definedName>
    <definedName name="SG_05_17" localSheetId="2">'[10]Planilha PROJETISTA'!#REF!</definedName>
    <definedName name="SG_05_17">'[10]Planilha PROJETISTA'!#REF!</definedName>
    <definedName name="SG_05_18" localSheetId="2">'[10]Planilha PROJETISTA'!#REF!</definedName>
    <definedName name="SG_05_18">'[10]Planilha PROJETISTA'!#REF!</definedName>
    <definedName name="SG_05_19" localSheetId="2">'[10]Planilha PROJETISTA'!#REF!</definedName>
    <definedName name="SG_05_19">'[10]Planilha PROJETISTA'!#REF!</definedName>
    <definedName name="SG_05_20" localSheetId="2">'[10]Planilha PROJETISTA'!#REF!</definedName>
    <definedName name="SG_05_20">'[10]Planilha PROJETISTA'!#REF!</definedName>
    <definedName name="SG_06_04" localSheetId="2">'[10]Planilha PROJETISTA'!#REF!</definedName>
    <definedName name="SG_06_04">'[10]Planilha PROJETISTA'!#REF!</definedName>
    <definedName name="SG_06_05" localSheetId="2">'[10]Planilha PROJETISTA'!#REF!</definedName>
    <definedName name="SG_06_05">'[10]Planilha PROJETISTA'!#REF!</definedName>
    <definedName name="SG_06_06" localSheetId="2">'[10]Planilha PROJETISTA'!#REF!</definedName>
    <definedName name="SG_06_06">'[10]Planilha PROJETISTA'!#REF!</definedName>
    <definedName name="SG_06_07" localSheetId="2">'[10]Planilha PROJETISTA'!#REF!</definedName>
    <definedName name="SG_06_07">'[10]Planilha PROJETISTA'!#REF!</definedName>
    <definedName name="SG_06_08" localSheetId="2">'[10]Planilha PROJETISTA'!#REF!</definedName>
    <definedName name="SG_06_08">'[10]Planilha PROJETISTA'!#REF!</definedName>
    <definedName name="SG_06_09" localSheetId="2">'[10]Planilha PROJETISTA'!#REF!</definedName>
    <definedName name="SG_06_09">'[10]Planilha PROJETISTA'!#REF!</definedName>
    <definedName name="SG_06_10" localSheetId="2">'[10]Planilha PROJETISTA'!#REF!</definedName>
    <definedName name="SG_06_10">'[10]Planilha PROJETISTA'!#REF!</definedName>
    <definedName name="SG_06_11" localSheetId="2">'[10]Planilha PROJETISTA'!#REF!</definedName>
    <definedName name="SG_06_11">'[10]Planilha PROJETISTA'!#REF!</definedName>
    <definedName name="SG_06_12" localSheetId="2">'[10]Planilha PROJETISTA'!#REF!</definedName>
    <definedName name="SG_06_12">'[10]Planilha PROJETISTA'!#REF!</definedName>
    <definedName name="SG_06_13" localSheetId="2">'[10]Planilha PROJETISTA'!#REF!</definedName>
    <definedName name="SG_06_13">'[10]Planilha PROJETISTA'!#REF!</definedName>
    <definedName name="SG_06_14" localSheetId="2">'[10]Planilha PROJETISTA'!#REF!</definedName>
    <definedName name="SG_06_14">'[10]Planilha PROJETISTA'!#REF!</definedName>
    <definedName name="SG_06_15" localSheetId="2">'[10]Planilha PROJETISTA'!#REF!</definedName>
    <definedName name="SG_06_15">'[10]Planilha PROJETISTA'!#REF!</definedName>
    <definedName name="SG_06_16" localSheetId="2">'[10]Planilha PROJETISTA'!#REF!</definedName>
    <definedName name="SG_06_16">'[10]Planilha PROJETISTA'!#REF!</definedName>
    <definedName name="SG_06_17" localSheetId="2">'[10]Planilha PROJETISTA'!#REF!</definedName>
    <definedName name="SG_06_17">'[10]Planilha PROJETISTA'!#REF!</definedName>
    <definedName name="SG_06_18" localSheetId="2">'[10]Planilha PROJETISTA'!#REF!</definedName>
    <definedName name="SG_06_18">'[10]Planilha PROJETISTA'!#REF!</definedName>
    <definedName name="SG_06_19" localSheetId="2">'[10]Planilha PROJETISTA'!#REF!</definedName>
    <definedName name="SG_06_19">'[10]Planilha PROJETISTA'!#REF!</definedName>
    <definedName name="SG_06_20" localSheetId="2">'[10]Planilha PROJETISTA'!#REF!</definedName>
    <definedName name="SG_06_20">'[10]Planilha PROJETISTA'!#REF!</definedName>
    <definedName name="SG_07_02" localSheetId="2">'[10]Planilha PROJETISTA'!#REF!</definedName>
    <definedName name="SG_07_02">'[10]Planilha PROJETISTA'!#REF!</definedName>
    <definedName name="SG_07_03" localSheetId="2">'[10]Planilha PROJETISTA'!#REF!</definedName>
    <definedName name="SG_07_03">'[10]Planilha PROJETISTA'!#REF!</definedName>
    <definedName name="SG_07_04" localSheetId="2">'[10]Planilha PROJETISTA'!#REF!</definedName>
    <definedName name="SG_07_04">'[10]Planilha PROJETISTA'!#REF!</definedName>
    <definedName name="SG_07_05" localSheetId="2">'[10]Planilha PROJETISTA'!#REF!</definedName>
    <definedName name="SG_07_05">'[10]Planilha PROJETISTA'!#REF!</definedName>
    <definedName name="SG_07_06" localSheetId="2">'[10]Planilha PROJETISTA'!#REF!</definedName>
    <definedName name="SG_07_06">'[10]Planilha PROJETISTA'!#REF!</definedName>
    <definedName name="SG_07_07" localSheetId="2">'[10]Planilha PROJETISTA'!#REF!</definedName>
    <definedName name="SG_07_07">'[10]Planilha PROJETISTA'!#REF!</definedName>
    <definedName name="SG_07_08" localSheetId="2">'[10]Planilha PROJETISTA'!#REF!</definedName>
    <definedName name="SG_07_08">'[10]Planilha PROJETISTA'!#REF!</definedName>
    <definedName name="SG_07_09" localSheetId="2">'[10]Planilha PROJETISTA'!#REF!</definedName>
    <definedName name="SG_07_09">'[10]Planilha PROJETISTA'!#REF!</definedName>
    <definedName name="SG_07_10" localSheetId="2">'[10]Planilha PROJETISTA'!#REF!</definedName>
    <definedName name="SG_07_10">'[10]Planilha PROJETISTA'!#REF!</definedName>
    <definedName name="SG_07_11" localSheetId="2">'[10]Planilha PROJETISTA'!#REF!</definedName>
    <definedName name="SG_07_11">'[10]Planilha PROJETISTA'!#REF!</definedName>
    <definedName name="SG_07_12" localSheetId="2">'[10]Planilha PROJETISTA'!#REF!</definedName>
    <definedName name="SG_07_12">'[10]Planilha PROJETISTA'!#REF!</definedName>
    <definedName name="SG_07_13" localSheetId="2">'[10]Planilha PROJETISTA'!#REF!</definedName>
    <definedName name="SG_07_13">'[10]Planilha PROJETISTA'!#REF!</definedName>
    <definedName name="SG_07_14" localSheetId="2">'[10]Planilha PROJETISTA'!#REF!</definedName>
    <definedName name="SG_07_14">'[10]Planilha PROJETISTA'!#REF!</definedName>
    <definedName name="SG_07_15" localSheetId="2">'[10]Planilha PROJETISTA'!#REF!</definedName>
    <definedName name="SG_07_15">'[10]Planilha PROJETISTA'!#REF!</definedName>
    <definedName name="SG_07_16" localSheetId="2">'[10]Planilha PROJETISTA'!#REF!</definedName>
    <definedName name="SG_07_16">'[10]Planilha PROJETISTA'!#REF!</definedName>
    <definedName name="SG_07_17" localSheetId="2">'[10]Planilha PROJETISTA'!#REF!</definedName>
    <definedName name="SG_07_17">'[10]Planilha PROJETISTA'!#REF!</definedName>
    <definedName name="SG_07_18" localSheetId="2">'[10]Planilha PROJETISTA'!#REF!</definedName>
    <definedName name="SG_07_18">'[10]Planilha PROJETISTA'!#REF!</definedName>
    <definedName name="SG_07_19" localSheetId="2">'[10]Planilha PROJETISTA'!#REF!</definedName>
    <definedName name="SG_07_19">'[10]Planilha PROJETISTA'!#REF!</definedName>
    <definedName name="SG_07_20" localSheetId="2">'[10]Planilha PROJETISTA'!#REF!</definedName>
    <definedName name="SG_07_20">'[10]Planilha PROJETISTA'!#REF!</definedName>
    <definedName name="SG_08_02" localSheetId="2">'[10]Planilha PROJETISTA'!#REF!</definedName>
    <definedName name="SG_08_02">'[10]Planilha PROJETISTA'!#REF!</definedName>
    <definedName name="SG_08_03" localSheetId="2">'[10]Planilha PROJETISTA'!#REF!</definedName>
    <definedName name="SG_08_03">'[10]Planilha PROJETISTA'!#REF!</definedName>
    <definedName name="SG_08_04" localSheetId="2">'[10]Planilha PROJETISTA'!#REF!</definedName>
    <definedName name="SG_08_04">'[10]Planilha PROJETISTA'!#REF!</definedName>
    <definedName name="SG_08_05" localSheetId="2">'[10]Planilha PROJETISTA'!#REF!</definedName>
    <definedName name="SG_08_05">'[10]Planilha PROJETISTA'!#REF!</definedName>
    <definedName name="SG_08_06" localSheetId="2">'[10]Planilha PROJETISTA'!#REF!</definedName>
    <definedName name="SG_08_06">'[10]Planilha PROJETISTA'!#REF!</definedName>
    <definedName name="SG_08_07" localSheetId="2">'[10]Planilha PROJETISTA'!#REF!</definedName>
    <definedName name="SG_08_07">'[10]Planilha PROJETISTA'!#REF!</definedName>
    <definedName name="SG_08_08" localSheetId="2">'[10]Planilha PROJETISTA'!#REF!</definedName>
    <definedName name="SG_08_08">'[10]Planilha PROJETISTA'!#REF!</definedName>
    <definedName name="SG_08_09" localSheetId="2">'[10]Planilha PROJETISTA'!#REF!</definedName>
    <definedName name="SG_08_09">'[10]Planilha PROJETISTA'!#REF!</definedName>
    <definedName name="SG_08_10" localSheetId="2">'[10]Planilha PROJETISTA'!#REF!</definedName>
    <definedName name="SG_08_10">'[10]Planilha PROJETISTA'!#REF!</definedName>
    <definedName name="SG_08_11" localSheetId="2">'[10]Planilha PROJETISTA'!#REF!</definedName>
    <definedName name="SG_08_11">'[10]Planilha PROJETISTA'!#REF!</definedName>
    <definedName name="SG_08_12" localSheetId="2">'[10]Planilha PROJETISTA'!#REF!</definedName>
    <definedName name="SG_08_12">'[10]Planilha PROJETISTA'!#REF!</definedName>
    <definedName name="SG_08_13" localSheetId="2">'[10]Planilha PROJETISTA'!#REF!</definedName>
    <definedName name="SG_08_13">'[10]Planilha PROJETISTA'!#REF!</definedName>
    <definedName name="SG_08_14" localSheetId="2">'[10]Planilha PROJETISTA'!#REF!</definedName>
    <definedName name="SG_08_14">'[10]Planilha PROJETISTA'!#REF!</definedName>
    <definedName name="SG_08_15" localSheetId="2">'[10]Planilha PROJETISTA'!#REF!</definedName>
    <definedName name="SG_08_15">'[10]Planilha PROJETISTA'!#REF!</definedName>
    <definedName name="SG_08_16" localSheetId="2">'[10]Planilha PROJETISTA'!#REF!</definedName>
    <definedName name="SG_08_16">'[10]Planilha PROJETISTA'!#REF!</definedName>
    <definedName name="SG_08_17" localSheetId="2">'[10]Planilha PROJETISTA'!#REF!</definedName>
    <definedName name="SG_08_17">'[10]Planilha PROJETISTA'!#REF!</definedName>
    <definedName name="SG_08_18" localSheetId="2">'[10]Planilha PROJETISTA'!#REF!</definedName>
    <definedName name="SG_08_18">'[10]Planilha PROJETISTA'!#REF!</definedName>
    <definedName name="SG_08_19" localSheetId="2">'[10]Planilha PROJETISTA'!#REF!</definedName>
    <definedName name="SG_08_19">'[10]Planilha PROJETISTA'!#REF!</definedName>
    <definedName name="SG_08_20" localSheetId="2">'[10]Planilha PROJETISTA'!#REF!</definedName>
    <definedName name="SG_08_20">'[10]Planilha PROJETISTA'!#REF!</definedName>
    <definedName name="SG_09_03" localSheetId="2">'[10]Planilha PROJETISTA'!#REF!</definedName>
    <definedName name="SG_09_03">'[10]Planilha PROJETISTA'!#REF!</definedName>
    <definedName name="SG_09_04" localSheetId="2">'[10]Planilha PROJETISTA'!#REF!</definedName>
    <definedName name="SG_09_04">'[10]Planilha PROJETISTA'!#REF!</definedName>
    <definedName name="SG_09_05" localSheetId="2">'[10]Planilha PROJETISTA'!#REF!</definedName>
    <definedName name="SG_09_05">'[10]Planilha PROJETISTA'!#REF!</definedName>
    <definedName name="SG_09_06" localSheetId="2">'[10]Planilha PROJETISTA'!#REF!</definedName>
    <definedName name="SG_09_06">'[10]Planilha PROJETISTA'!#REF!</definedName>
    <definedName name="SG_09_07" localSheetId="2">'[10]Planilha PROJETISTA'!#REF!</definedName>
    <definedName name="SG_09_07">'[10]Planilha PROJETISTA'!#REF!</definedName>
    <definedName name="SG_09_08" localSheetId="2">'[10]Planilha PROJETISTA'!#REF!</definedName>
    <definedName name="SG_09_08">'[10]Planilha PROJETISTA'!#REF!</definedName>
    <definedName name="SG_09_09" localSheetId="2">'[10]Planilha PROJETISTA'!#REF!</definedName>
    <definedName name="SG_09_09">'[10]Planilha PROJETISTA'!#REF!</definedName>
    <definedName name="SG_09_10" localSheetId="2">'[10]Planilha PROJETISTA'!#REF!</definedName>
    <definedName name="SG_09_10">'[10]Planilha PROJETISTA'!#REF!</definedName>
    <definedName name="SG_09_11" localSheetId="2">'[10]Planilha PROJETISTA'!#REF!</definedName>
    <definedName name="SG_09_11">'[10]Planilha PROJETISTA'!#REF!</definedName>
    <definedName name="SG_09_12" localSheetId="2">'[10]Planilha PROJETISTA'!#REF!</definedName>
    <definedName name="SG_09_12">'[10]Planilha PROJETISTA'!#REF!</definedName>
    <definedName name="SG_09_13" localSheetId="2">'[10]Planilha PROJETISTA'!#REF!</definedName>
    <definedName name="SG_09_13">'[10]Planilha PROJETISTA'!#REF!</definedName>
    <definedName name="SG_09_14" localSheetId="2">'[10]Planilha PROJETISTA'!#REF!</definedName>
    <definedName name="SG_09_14">'[10]Planilha PROJETISTA'!#REF!</definedName>
    <definedName name="SG_09_15" localSheetId="2">'[10]Planilha PROJETISTA'!#REF!</definedName>
    <definedName name="SG_09_15">'[10]Planilha PROJETISTA'!#REF!</definedName>
    <definedName name="SG_09_16" localSheetId="2">'[10]Planilha PROJETISTA'!#REF!</definedName>
    <definedName name="SG_09_16">'[10]Planilha PROJETISTA'!#REF!</definedName>
    <definedName name="SG_09_17" localSheetId="2">'[10]Planilha PROJETISTA'!#REF!</definedName>
    <definedName name="SG_09_17">'[10]Planilha PROJETISTA'!#REF!</definedName>
    <definedName name="SG_09_18" localSheetId="2">'[10]Planilha PROJETISTA'!#REF!</definedName>
    <definedName name="SG_09_18">'[10]Planilha PROJETISTA'!#REF!</definedName>
    <definedName name="SG_09_19" localSheetId="2">'[10]Planilha PROJETISTA'!#REF!</definedName>
    <definedName name="SG_09_19">'[10]Planilha PROJETISTA'!#REF!</definedName>
    <definedName name="SG_09_20" localSheetId="2">'[10]Planilha PROJETISTA'!#REF!</definedName>
    <definedName name="SG_09_20">'[10]Planilha PROJETISTA'!#REF!</definedName>
    <definedName name="SG_10_02" localSheetId="2">'[10]Planilha PROJETISTA'!#REF!</definedName>
    <definedName name="SG_10_02">'[10]Planilha PROJETISTA'!#REF!</definedName>
    <definedName name="SG_10_03" localSheetId="2">'[10]Planilha PROJETISTA'!#REF!</definedName>
    <definedName name="SG_10_03">'[10]Planilha PROJETISTA'!#REF!</definedName>
    <definedName name="SG_10_04" localSheetId="2">'[10]Planilha PROJETISTA'!#REF!</definedName>
    <definedName name="SG_10_04">'[10]Planilha PROJETISTA'!#REF!</definedName>
    <definedName name="SG_10_05" localSheetId="2">'[10]Planilha PROJETISTA'!#REF!</definedName>
    <definedName name="SG_10_05">'[10]Planilha PROJETISTA'!#REF!</definedName>
    <definedName name="SG_10_06" localSheetId="2">'[10]Planilha PROJETISTA'!#REF!</definedName>
    <definedName name="SG_10_06">'[10]Planilha PROJETISTA'!#REF!</definedName>
    <definedName name="SG_10_07" localSheetId="2">'[10]Planilha PROJETISTA'!#REF!</definedName>
    <definedName name="SG_10_07">'[10]Planilha PROJETISTA'!#REF!</definedName>
    <definedName name="SG_10_08" localSheetId="2">'[10]Planilha PROJETISTA'!#REF!</definedName>
    <definedName name="SG_10_08">'[10]Planilha PROJETISTA'!#REF!</definedName>
    <definedName name="SG_10_09" localSheetId="2">'[10]Planilha PROJETISTA'!#REF!</definedName>
    <definedName name="SG_10_09">'[10]Planilha PROJETISTA'!#REF!</definedName>
    <definedName name="SG_10_10" localSheetId="2">'[10]Planilha PROJETISTA'!#REF!</definedName>
    <definedName name="SG_10_10">'[10]Planilha PROJETISTA'!#REF!</definedName>
    <definedName name="SG_10_11" localSheetId="2">'[10]Planilha PROJETISTA'!#REF!</definedName>
    <definedName name="SG_10_11">'[10]Planilha PROJETISTA'!#REF!</definedName>
    <definedName name="SG_10_12" localSheetId="2">'[10]Planilha PROJETISTA'!#REF!</definedName>
    <definedName name="SG_10_12">'[10]Planilha PROJETISTA'!#REF!</definedName>
    <definedName name="SG_10_13" localSheetId="2">'[10]Planilha PROJETISTA'!#REF!</definedName>
    <definedName name="SG_10_13">'[10]Planilha PROJETISTA'!#REF!</definedName>
    <definedName name="SG_10_14" localSheetId="2">'[10]Planilha PROJETISTA'!#REF!</definedName>
    <definedName name="SG_10_14">'[10]Planilha PROJETISTA'!#REF!</definedName>
    <definedName name="SG_10_15" localSheetId="2">'[10]Planilha PROJETISTA'!#REF!</definedName>
    <definedName name="SG_10_15">'[10]Planilha PROJETISTA'!#REF!</definedName>
    <definedName name="SG_10_16" localSheetId="2">'[10]Planilha PROJETISTA'!#REF!</definedName>
    <definedName name="SG_10_16">'[10]Planilha PROJETISTA'!#REF!</definedName>
    <definedName name="SG_10_17" localSheetId="2">'[10]Planilha PROJETISTA'!#REF!</definedName>
    <definedName name="SG_10_17">'[10]Planilha PROJETISTA'!#REF!</definedName>
    <definedName name="SG_10_18" localSheetId="2">'[10]Planilha PROJETISTA'!#REF!</definedName>
    <definedName name="SG_10_18">'[10]Planilha PROJETISTA'!#REF!</definedName>
    <definedName name="SG_10_19" localSheetId="2">'[10]Planilha PROJETISTA'!#REF!</definedName>
    <definedName name="SG_10_19">'[10]Planilha PROJETISTA'!#REF!</definedName>
    <definedName name="SG_10_20" localSheetId="2">'[10]Planilha PROJETISTA'!#REF!</definedName>
    <definedName name="SG_10_20">'[10]Planilha PROJETISTA'!#REF!</definedName>
    <definedName name="SG_11_02" localSheetId="2">'[10]Planilha PROJETISTA'!#REF!</definedName>
    <definedName name="SG_11_02">'[10]Planilha PROJETISTA'!#REF!</definedName>
    <definedName name="SG_11_03" localSheetId="2">'[10]Planilha PROJETISTA'!#REF!</definedName>
    <definedName name="SG_11_03">'[10]Planilha PROJETISTA'!#REF!</definedName>
    <definedName name="SG_11_04" localSheetId="2">'[10]Planilha PROJETISTA'!#REF!</definedName>
    <definedName name="SG_11_04">'[10]Planilha PROJETISTA'!#REF!</definedName>
    <definedName name="SG_11_05" localSheetId="2">'[10]Planilha PROJETISTA'!#REF!</definedName>
    <definedName name="SG_11_05">'[10]Planilha PROJETISTA'!#REF!</definedName>
    <definedName name="SG_11_06" localSheetId="2">'[10]Planilha PROJETISTA'!#REF!</definedName>
    <definedName name="SG_11_06">'[10]Planilha PROJETISTA'!#REF!</definedName>
    <definedName name="SG_11_07" localSheetId="2">'[10]Planilha PROJETISTA'!#REF!</definedName>
    <definedName name="SG_11_07">'[10]Planilha PROJETISTA'!#REF!</definedName>
    <definedName name="SG_11_08" localSheetId="2">'[10]Planilha PROJETISTA'!#REF!</definedName>
    <definedName name="SG_11_08">'[10]Planilha PROJETISTA'!#REF!</definedName>
    <definedName name="SG_11_09" localSheetId="2">'[10]Planilha PROJETISTA'!#REF!</definedName>
    <definedName name="SG_11_09">'[10]Planilha PROJETISTA'!#REF!</definedName>
    <definedName name="SG_11_10" localSheetId="2">'[10]Planilha PROJETISTA'!#REF!</definedName>
    <definedName name="SG_11_10">'[10]Planilha PROJETISTA'!#REF!</definedName>
    <definedName name="SG_11_11" localSheetId="2">'[10]Planilha PROJETISTA'!#REF!</definedName>
    <definedName name="SG_11_11">'[10]Planilha PROJETISTA'!#REF!</definedName>
    <definedName name="SG_11_12" localSheetId="2">'[10]Planilha PROJETISTA'!#REF!</definedName>
    <definedName name="SG_11_12">'[10]Planilha PROJETISTA'!#REF!</definedName>
    <definedName name="SG_11_13" localSheetId="2">'[10]Planilha PROJETISTA'!#REF!</definedName>
    <definedName name="SG_11_13">'[10]Planilha PROJETISTA'!#REF!</definedName>
    <definedName name="SG_11_14" localSheetId="2">'[10]Planilha PROJETISTA'!#REF!</definedName>
    <definedName name="SG_11_14">'[10]Planilha PROJETISTA'!#REF!</definedName>
    <definedName name="SG_11_15" localSheetId="2">'[10]Planilha PROJETISTA'!#REF!</definedName>
    <definedName name="SG_11_15">'[10]Planilha PROJETISTA'!#REF!</definedName>
    <definedName name="SG_11_16" localSheetId="2">'[10]Planilha PROJETISTA'!#REF!</definedName>
    <definedName name="SG_11_16">'[10]Planilha PROJETISTA'!#REF!</definedName>
    <definedName name="SG_11_17" localSheetId="2">'[10]Planilha PROJETISTA'!#REF!</definedName>
    <definedName name="SG_11_17">'[10]Planilha PROJETISTA'!#REF!</definedName>
    <definedName name="SG_11_18" localSheetId="2">'[10]Planilha PROJETISTA'!#REF!</definedName>
    <definedName name="SG_11_18">'[10]Planilha PROJETISTA'!#REF!</definedName>
    <definedName name="SG_11_19" localSheetId="2">'[10]Planilha PROJETISTA'!#REF!</definedName>
    <definedName name="SG_11_19">'[10]Planilha PROJETISTA'!#REF!</definedName>
    <definedName name="SG_11_20" localSheetId="2">'[10]Planilha PROJETISTA'!#REF!</definedName>
    <definedName name="SG_11_20">'[10]Planilha PROJETISTA'!#REF!</definedName>
    <definedName name="SG_12_08" localSheetId="2">'[10]Planilha PROJETISTA'!#REF!</definedName>
    <definedName name="SG_12_08">'[10]Planilha PROJETISTA'!#REF!</definedName>
    <definedName name="SG_12_09" localSheetId="2">'[10]Planilha PROJETISTA'!#REF!</definedName>
    <definedName name="SG_12_09">'[10]Planilha PROJETISTA'!#REF!</definedName>
    <definedName name="SG_12_10" localSheetId="2">'[10]Planilha PROJETISTA'!#REF!</definedName>
    <definedName name="SG_12_10">'[10]Planilha PROJETISTA'!#REF!</definedName>
    <definedName name="SG_12_11" localSheetId="2">'[10]Planilha PROJETISTA'!#REF!</definedName>
    <definedName name="SG_12_11">'[10]Planilha PROJETISTA'!#REF!</definedName>
    <definedName name="SG_12_12" localSheetId="2">'[10]Planilha PROJETISTA'!#REF!</definedName>
    <definedName name="SG_12_12">'[10]Planilha PROJETISTA'!#REF!</definedName>
    <definedName name="SG_12_13" localSheetId="2">'[10]Planilha PROJETISTA'!#REF!</definedName>
    <definedName name="SG_12_13">'[10]Planilha PROJETISTA'!#REF!</definedName>
    <definedName name="SG_12_14" localSheetId="2">'[10]Planilha PROJETISTA'!#REF!</definedName>
    <definedName name="SG_12_14">'[10]Planilha PROJETISTA'!#REF!</definedName>
    <definedName name="SG_12_15" localSheetId="2">'[10]Planilha PROJETISTA'!#REF!</definedName>
    <definedName name="SG_12_15">'[10]Planilha PROJETISTA'!#REF!</definedName>
    <definedName name="SG_12_16" localSheetId="2">'[10]Planilha PROJETISTA'!#REF!</definedName>
    <definedName name="SG_12_16">'[10]Planilha PROJETISTA'!#REF!</definedName>
    <definedName name="SG_12_17" localSheetId="2">'[10]Planilha PROJETISTA'!#REF!</definedName>
    <definedName name="SG_12_17">'[10]Planilha PROJETISTA'!#REF!</definedName>
    <definedName name="SG_12_18" localSheetId="2">'[10]Planilha PROJETISTA'!#REF!</definedName>
    <definedName name="SG_12_18">'[10]Planilha PROJETISTA'!#REF!</definedName>
    <definedName name="SG_12_19" localSheetId="2">'[10]Planilha PROJETISTA'!#REF!</definedName>
    <definedName name="SG_12_19">'[10]Planilha PROJETISTA'!#REF!</definedName>
    <definedName name="SG_12_20" localSheetId="2">'[10]Planilha PROJETISTA'!#REF!</definedName>
    <definedName name="SG_12_20">'[10]Planilha PROJETISTA'!#REF!</definedName>
    <definedName name="SG_13_06" localSheetId="2">'[10]Planilha PROJETISTA'!#REF!</definedName>
    <definedName name="SG_13_06">'[10]Planilha PROJETISTA'!#REF!</definedName>
    <definedName name="SG_13_07" localSheetId="2">'[10]Planilha PROJETISTA'!#REF!</definedName>
    <definedName name="SG_13_07">'[10]Planilha PROJETISTA'!#REF!</definedName>
    <definedName name="SG_13_08" localSheetId="2">'[10]Planilha PROJETISTA'!#REF!</definedName>
    <definedName name="SG_13_08">'[10]Planilha PROJETISTA'!#REF!</definedName>
    <definedName name="SG_13_09" localSheetId="2">'[10]Planilha PROJETISTA'!#REF!</definedName>
    <definedName name="SG_13_09">'[10]Planilha PROJETISTA'!#REF!</definedName>
    <definedName name="SG_13_10" localSheetId="2">'[10]Planilha PROJETISTA'!#REF!</definedName>
    <definedName name="SG_13_10">'[10]Planilha PROJETISTA'!#REF!</definedName>
    <definedName name="SG_13_11" localSheetId="2">'[10]Planilha PROJETISTA'!#REF!</definedName>
    <definedName name="SG_13_11">'[10]Planilha PROJETISTA'!#REF!</definedName>
    <definedName name="SG_13_12" localSheetId="2">'[10]Planilha PROJETISTA'!#REF!</definedName>
    <definedName name="SG_13_12">'[10]Planilha PROJETISTA'!#REF!</definedName>
    <definedName name="SG_13_13" localSheetId="2">'[10]Planilha PROJETISTA'!#REF!</definedName>
    <definedName name="SG_13_13">'[10]Planilha PROJETISTA'!#REF!</definedName>
    <definedName name="SG_13_14" localSheetId="2">'[10]Planilha PROJETISTA'!#REF!</definedName>
    <definedName name="SG_13_14">'[10]Planilha PROJETISTA'!#REF!</definedName>
    <definedName name="SG_13_15" localSheetId="2">'[10]Planilha PROJETISTA'!#REF!</definedName>
    <definedName name="SG_13_15">'[10]Planilha PROJETISTA'!#REF!</definedName>
    <definedName name="SG_13_16" localSheetId="2">'[10]Planilha PROJETISTA'!#REF!</definedName>
    <definedName name="SG_13_16">'[10]Planilha PROJETISTA'!#REF!</definedName>
    <definedName name="SG_13_17" localSheetId="2">'[10]Planilha PROJETISTA'!#REF!</definedName>
    <definedName name="SG_13_17">'[10]Planilha PROJETISTA'!#REF!</definedName>
    <definedName name="SG_13_18" localSheetId="2">'[10]Planilha PROJETISTA'!#REF!</definedName>
    <definedName name="SG_13_18">'[10]Planilha PROJETISTA'!#REF!</definedName>
    <definedName name="SG_13_19" localSheetId="2">'[10]Planilha PROJETISTA'!#REF!</definedName>
    <definedName name="SG_13_19">'[10]Planilha PROJETISTA'!#REF!</definedName>
    <definedName name="SG_13_20" localSheetId="2">'[10]Planilha PROJETISTA'!#REF!</definedName>
    <definedName name="SG_13_20">'[10]Planilha PROJETISTA'!#REF!</definedName>
    <definedName name="SG_14_08" localSheetId="2">'[10]Planilha PROJETISTA'!#REF!</definedName>
    <definedName name="SG_14_08">'[10]Planilha PROJETISTA'!#REF!</definedName>
    <definedName name="SG_14_09" localSheetId="2">'[10]Planilha PROJETISTA'!#REF!</definedName>
    <definedName name="SG_14_09">'[10]Planilha PROJETISTA'!#REF!</definedName>
    <definedName name="SG_14_10" localSheetId="2">'[10]Planilha PROJETISTA'!#REF!</definedName>
    <definedName name="SG_14_10">'[10]Planilha PROJETISTA'!#REF!</definedName>
    <definedName name="SG_14_11" localSheetId="2">'[10]Planilha PROJETISTA'!#REF!</definedName>
    <definedName name="SG_14_11">'[10]Planilha PROJETISTA'!#REF!</definedName>
    <definedName name="SG_14_12" localSheetId="2">'[10]Planilha PROJETISTA'!#REF!</definedName>
    <definedName name="SG_14_12">'[10]Planilha PROJETISTA'!#REF!</definedName>
    <definedName name="SG_14_13" localSheetId="2">'[10]Planilha PROJETISTA'!#REF!</definedName>
    <definedName name="SG_14_13">'[10]Planilha PROJETISTA'!#REF!</definedName>
    <definedName name="SG_14_14" localSheetId="2">'[10]Planilha PROJETISTA'!#REF!</definedName>
    <definedName name="SG_14_14">'[10]Planilha PROJETISTA'!#REF!</definedName>
    <definedName name="SG_14_15" localSheetId="2">'[10]Planilha PROJETISTA'!#REF!</definedName>
    <definedName name="SG_14_15">'[10]Planilha PROJETISTA'!#REF!</definedName>
    <definedName name="SG_14_16" localSheetId="2">'[10]Planilha PROJETISTA'!#REF!</definedName>
    <definedName name="SG_14_16">'[10]Planilha PROJETISTA'!#REF!</definedName>
    <definedName name="SG_14_17" localSheetId="2">'[10]Planilha PROJETISTA'!#REF!</definedName>
    <definedName name="SG_14_17">'[10]Planilha PROJETISTA'!#REF!</definedName>
    <definedName name="SG_14_18" localSheetId="2">'[10]Planilha PROJETISTA'!#REF!</definedName>
    <definedName name="SG_14_18">'[10]Planilha PROJETISTA'!#REF!</definedName>
    <definedName name="SG_14_19" localSheetId="2">'[10]Planilha PROJETISTA'!#REF!</definedName>
    <definedName name="SG_14_19">'[10]Planilha PROJETISTA'!#REF!</definedName>
    <definedName name="SG_14_20" localSheetId="2">'[10]Planilha PROJETISTA'!#REF!</definedName>
    <definedName name="SG_14_20">'[10]Planilha PROJETISTA'!#REF!</definedName>
    <definedName name="SINAPI" localSheetId="2">#REF!</definedName>
    <definedName name="SINAPI">#REF!</definedName>
    <definedName name="tab" localSheetId="9">#REF!</definedName>
    <definedName name="tab" localSheetId="2">#REF!</definedName>
    <definedName name="tab">#REF!</definedName>
    <definedName name="TABREC">'[11]TABELA RECURSOS'!$A$1:$G$142</definedName>
    <definedName name="TIT1_2" localSheetId="2">#REF!</definedName>
    <definedName name="TIT1_2">#REF!</definedName>
    <definedName name="TIT1_3" localSheetId="2">#REF!</definedName>
    <definedName name="TIT1_3">#REF!</definedName>
    <definedName name="TIT2_2" localSheetId="2">#REF!</definedName>
    <definedName name="TIT2_2">#REF!</definedName>
    <definedName name="TIT2_3" localSheetId="2">#REF!</definedName>
    <definedName name="TIT2_3">#REF!</definedName>
    <definedName name="_xlnm.Print_Titles" localSheetId="9">#REF!</definedName>
    <definedName name="_xlnm.Print_Titles" localSheetId="3">PLANILHA!$1:$7</definedName>
    <definedName name="_xlnm.Print_Titles" localSheetId="1">'QUANT-MAT-DRE-R AZUL'!$2:$6</definedName>
    <definedName name="_xlnm.Print_Titles" localSheetId="5">'QUANT-PAV-R AZUL'!$13:$22</definedName>
    <definedName name="_xlnm.Print_Titles" localSheetId="0">'QUANT-SERV-DRE-R AZUL'!$7:$12</definedName>
    <definedName name="_xlnm.Print_Titles" localSheetId="2">#REF!</definedName>
    <definedName name="_xlnm.Print_Titles">#REF!</definedName>
    <definedName name="toatal4" localSheetId="9">#REF!</definedName>
    <definedName name="toatal4" localSheetId="2">#REF!</definedName>
    <definedName name="toatal4">#REF!</definedName>
    <definedName name="TOCANTINÓPOLIS" localSheetId="9">#REF!</definedName>
    <definedName name="TOCANTINÓPOLIS" localSheetId="2">#REF!</definedName>
    <definedName name="TOCANTINÓPOLIS">#REF!</definedName>
    <definedName name="TOT" localSheetId="9">'[1]Bm 8'!#REF!</definedName>
    <definedName name="TOT" localSheetId="2">'[1]Bm 8'!#REF!</definedName>
    <definedName name="TOT">'[1]Bm 8'!#REF!</definedName>
    <definedName name="TOT1.P" localSheetId="7">'[9]Opção 1'!#REF!</definedName>
    <definedName name="TOT1.P" localSheetId="2">'[9]Opção 1'!#REF!</definedName>
    <definedName name="TOT1.P">'[9]Opção 1'!#REF!</definedName>
    <definedName name="total" localSheetId="9">#REF!</definedName>
    <definedName name="total" localSheetId="2">#REF!</definedName>
    <definedName name="total">#REF!</definedName>
    <definedName name="TOTAL_RESUMO" localSheetId="2">#REF!</definedName>
    <definedName name="TOTAL_RESUMO">#REF!</definedName>
    <definedName name="total2" localSheetId="9">#REF!</definedName>
    <definedName name="total2" localSheetId="2">#REF!</definedName>
    <definedName name="total2">#REF!</definedName>
    <definedName name="total3" localSheetId="9">#REF!</definedName>
    <definedName name="total3" localSheetId="2">#REF!</definedName>
    <definedName name="total3">#REF!</definedName>
    <definedName name="total4" localSheetId="9">#REF!</definedName>
    <definedName name="total4" localSheetId="2">#REF!</definedName>
    <definedName name="total4">#REF!</definedName>
    <definedName name="TR" localSheetId="9">#REF!</definedName>
    <definedName name="TR" localSheetId="2">#REF!</definedName>
    <definedName name="TR">#REF!</definedName>
    <definedName name="TT.1" localSheetId="7">'[9]Opção 1'!#REF!</definedName>
    <definedName name="TT.1" localSheetId="2">'[9]Opção 1'!#REF!</definedName>
    <definedName name="TT.1">'[9]Opção 1'!#REF!</definedName>
    <definedName name="TT.10" localSheetId="7">'[9]Opção 1'!#REF!</definedName>
    <definedName name="TT.10" localSheetId="2">'[9]Opção 1'!#REF!</definedName>
    <definedName name="TT.10">'[9]Opção 1'!#REF!</definedName>
    <definedName name="TT.11" localSheetId="7">'[9]Opção 1'!#REF!</definedName>
    <definedName name="TT.11" localSheetId="2">'[9]Opção 1'!#REF!</definedName>
    <definedName name="TT.11">'[9]Opção 1'!#REF!</definedName>
    <definedName name="TT.12" localSheetId="7">'[9]Opção 1'!#REF!</definedName>
    <definedName name="TT.12" localSheetId="2">'[9]Opção 1'!#REF!</definedName>
    <definedName name="TT.12">'[9]Opção 1'!#REF!</definedName>
    <definedName name="TT.13" localSheetId="7">'[9]Opção 1'!#REF!</definedName>
    <definedName name="TT.13" localSheetId="2">'[9]Opção 1'!#REF!</definedName>
    <definedName name="TT.13">'[9]Opção 1'!#REF!</definedName>
    <definedName name="TT.14" localSheetId="7">'[9]Opção 1'!#REF!</definedName>
    <definedName name="TT.14" localSheetId="2">'[9]Opção 1'!#REF!</definedName>
    <definedName name="TT.14">'[9]Opção 1'!#REF!</definedName>
    <definedName name="TT.15" localSheetId="7">'[9]Opção 1'!#REF!</definedName>
    <definedName name="TT.15" localSheetId="2">'[9]Opção 1'!#REF!</definedName>
    <definedName name="TT.15">'[9]Opção 1'!#REF!</definedName>
    <definedName name="TT.2" localSheetId="7">'[9]Opção 1'!#REF!</definedName>
    <definedName name="TT.2" localSheetId="2">'[9]Opção 1'!#REF!</definedName>
    <definedName name="TT.2">'[9]Opção 1'!#REF!</definedName>
    <definedName name="TT.3" localSheetId="7">'[9]Opção 1'!#REF!</definedName>
    <definedName name="TT.3" localSheetId="2">'[9]Opção 1'!#REF!</definedName>
    <definedName name="TT.3">'[9]Opção 1'!#REF!</definedName>
    <definedName name="TT.4" localSheetId="7">'[9]Opção 1'!#REF!</definedName>
    <definedName name="TT.4" localSheetId="2">'[9]Opção 1'!#REF!</definedName>
    <definedName name="TT.4">'[9]Opção 1'!#REF!</definedName>
    <definedName name="TT.5" localSheetId="7">'[9]Opção 1'!#REF!</definedName>
    <definedName name="TT.5" localSheetId="2">'[9]Opção 1'!#REF!</definedName>
    <definedName name="TT.5">'[9]Opção 1'!#REF!</definedName>
    <definedName name="TT.6" localSheetId="7">'[9]Opção 1'!#REF!</definedName>
    <definedName name="TT.6" localSheetId="2">'[9]Opção 1'!#REF!</definedName>
    <definedName name="TT.6">'[9]Opção 1'!#REF!</definedName>
    <definedName name="TT.7" localSheetId="7">'[9]Opção 1'!#REF!</definedName>
    <definedName name="TT.7" localSheetId="2">'[9]Opção 1'!#REF!</definedName>
    <definedName name="TT.7">'[9]Opção 1'!#REF!</definedName>
    <definedName name="TT.8" localSheetId="7">'[9]Opção 1'!#REF!</definedName>
    <definedName name="TT.8" localSheetId="2">'[9]Opção 1'!#REF!</definedName>
    <definedName name="TT.8">'[9]Opção 1'!#REF!</definedName>
    <definedName name="TT.9" localSheetId="7">'[9]Opção 1'!#REF!</definedName>
    <definedName name="TT.9" localSheetId="2">'[9]Opção 1'!#REF!</definedName>
    <definedName name="TT.9">'[9]Opção 1'!#REF!</definedName>
    <definedName name="Valores" localSheetId="9">#REF!</definedName>
    <definedName name="Valores" localSheetId="2">#REF!</definedName>
    <definedName name="Valores">#REF!</definedName>
    <definedName name="VALORES_VALORES_Listar" localSheetId="9">#REF!</definedName>
    <definedName name="VALORES_VALORES_Listar" localSheetId="2">#REF!</definedName>
    <definedName name="VALORES_VALORES_Listar">#REF!</definedName>
    <definedName name="VIGASBALDRAMES">'[12]001-VIG_FUND-AGO2000'!$B$13:$IV$8135</definedName>
    <definedName name="Volume" localSheetId="9">#REF!</definedName>
    <definedName name="Volume" localSheetId="2">#REF!</definedName>
    <definedName name="Volume">#REF!</definedName>
    <definedName name="Wal" localSheetId="9">#REF!</definedName>
    <definedName name="Wal" localSheetId="2">#REF!</definedName>
    <definedName name="Wal">#REF!</definedName>
    <definedName name="walt4" localSheetId="9">#REF!</definedName>
    <definedName name="walt4" localSheetId="2">#REF!</definedName>
    <definedName name="walt4">#REF!</definedName>
    <definedName name="wrn.Orçamento." localSheetId="9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xcvxf" localSheetId="2">'[1]Bm 8'!#REF!</definedName>
    <definedName name="xcvxf">'[1]Bm 8'!#REF!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74" l="1"/>
  <c r="D3" i="73"/>
  <c r="A1" i="61"/>
  <c r="A1" i="62"/>
  <c r="A3" i="67"/>
  <c r="D55" i="67"/>
  <c r="D54" i="67"/>
  <c r="B52" i="67"/>
  <c r="E3" i="72"/>
  <c r="D178" i="67"/>
  <c r="H178" i="67"/>
  <c r="D173" i="67"/>
  <c r="F161" i="67"/>
  <c r="F132" i="67"/>
  <c r="F129" i="67"/>
  <c r="F104" i="67"/>
  <c r="H104" i="67"/>
  <c r="E93" i="67"/>
  <c r="F92" i="67"/>
  <c r="B76" i="67"/>
  <c r="B72" i="67"/>
  <c r="H20" i="68"/>
  <c r="H24" i="74"/>
  <c r="I24" i="74"/>
  <c r="H20" i="67"/>
  <c r="D24" i="67"/>
  <c r="H23" i="67"/>
  <c r="H17" i="67"/>
  <c r="H16" i="67"/>
  <c r="H15" i="68"/>
  <c r="I15" i="68"/>
  <c r="J15" i="71"/>
  <c r="J14" i="71"/>
  <c r="J13" i="71"/>
  <c r="H13" i="71"/>
  <c r="L13" i="71" s="1"/>
  <c r="H14" i="71"/>
  <c r="L14" i="71" s="1"/>
  <c r="H15" i="71"/>
  <c r="L15" i="71" s="1"/>
  <c r="H79" i="68"/>
  <c r="I79" i="68"/>
  <c r="H71" i="68"/>
  <c r="H21" i="74"/>
  <c r="I21" i="74"/>
  <c r="I71" i="68"/>
  <c r="H70" i="68"/>
  <c r="I70" i="68"/>
  <c r="H73" i="68"/>
  <c r="H9" i="74"/>
  <c r="I9" i="74"/>
  <c r="H9" i="68"/>
  <c r="H18" i="74"/>
  <c r="I18" i="74"/>
  <c r="I9" i="68"/>
  <c r="I10" i="68"/>
  <c r="G6" i="70"/>
  <c r="H78" i="68"/>
  <c r="H44" i="74"/>
  <c r="I44" i="74"/>
  <c r="B79" i="67"/>
  <c r="B82" i="67"/>
  <c r="H83" i="67"/>
  <c r="H84" i="67"/>
  <c r="H43" i="68"/>
  <c r="H34" i="74" s="1"/>
  <c r="I34" i="74" s="1"/>
  <c r="I43" i="68"/>
  <c r="B27" i="67"/>
  <c r="H43" i="67"/>
  <c r="H33" i="67"/>
  <c r="H63" i="68"/>
  <c r="H14" i="74"/>
  <c r="I14" i="74"/>
  <c r="I63" i="68"/>
  <c r="H88" i="68"/>
  <c r="H38" i="74"/>
  <c r="I38" i="74"/>
  <c r="I88" i="68"/>
  <c r="H87" i="68"/>
  <c r="H10" i="74"/>
  <c r="I10" i="74"/>
  <c r="H86" i="68"/>
  <c r="H33" i="74"/>
  <c r="I33" i="74"/>
  <c r="H85" i="68"/>
  <c r="I85" i="68"/>
  <c r="H84" i="68"/>
  <c r="H83" i="68"/>
  <c r="I83" i="68"/>
  <c r="H77" i="68"/>
  <c r="I77" i="68"/>
  <c r="H72" i="68"/>
  <c r="H36" i="74"/>
  <c r="I36" i="74"/>
  <c r="I72" i="68"/>
  <c r="H65" i="68"/>
  <c r="I65" i="68"/>
  <c r="H64" i="68"/>
  <c r="H12" i="74"/>
  <c r="I12" i="74"/>
  <c r="H59" i="68"/>
  <c r="I59" i="68"/>
  <c r="H58" i="68"/>
  <c r="I58" i="68"/>
  <c r="H53" i="68"/>
  <c r="I53" i="68"/>
  <c r="H52" i="68"/>
  <c r="I52" i="68"/>
  <c r="H51" i="68"/>
  <c r="I51" i="68"/>
  <c r="H50" i="68"/>
  <c r="H37" i="74"/>
  <c r="I37" i="74"/>
  <c r="H47" i="68"/>
  <c r="H46" i="74" s="1"/>
  <c r="I46" i="74" s="1"/>
  <c r="I47" i="68"/>
  <c r="I48" i="68"/>
  <c r="H42" i="68"/>
  <c r="H31" i="74"/>
  <c r="I31" i="74"/>
  <c r="I42" i="68"/>
  <c r="H41" i="68"/>
  <c r="H19" i="74"/>
  <c r="I19" i="74"/>
  <c r="I41" i="68"/>
  <c r="H39" i="68"/>
  <c r="H17" i="74"/>
  <c r="I17" i="74"/>
  <c r="H38" i="68"/>
  <c r="H20" i="74"/>
  <c r="I20" i="74"/>
  <c r="H37" i="68"/>
  <c r="H35" i="74" s="1"/>
  <c r="I35" i="74" s="1"/>
  <c r="I37" i="68"/>
  <c r="H36" i="68"/>
  <c r="H26" i="74"/>
  <c r="I26" i="74"/>
  <c r="H35" i="68"/>
  <c r="H11" i="74"/>
  <c r="I11" i="74"/>
  <c r="I35" i="68"/>
  <c r="H34" i="68"/>
  <c r="H23" i="74" s="1"/>
  <c r="I23" i="74" s="1"/>
  <c r="I34" i="68"/>
  <c r="H33" i="68"/>
  <c r="I33" i="68"/>
  <c r="H32" i="68"/>
  <c r="I32" i="68"/>
  <c r="H31" i="68"/>
  <c r="H43" i="74"/>
  <c r="I43" i="74"/>
  <c r="H30" i="68"/>
  <c r="H25" i="74"/>
  <c r="I25" i="74"/>
  <c r="H26" i="68"/>
  <c r="I26" i="68"/>
  <c r="I27" i="68"/>
  <c r="G12" i="70"/>
  <c r="H22" i="68"/>
  <c r="I22" i="68"/>
  <c r="H21" i="68"/>
  <c r="H40" i="74"/>
  <c r="I40" i="74"/>
  <c r="H19" i="68"/>
  <c r="H28" i="74"/>
  <c r="I28" i="74"/>
  <c r="H18" i="68"/>
  <c r="H42" i="74"/>
  <c r="I42" i="74"/>
  <c r="I18" i="68"/>
  <c r="H17" i="68"/>
  <c r="H32" i="74"/>
  <c r="I32" i="74"/>
  <c r="H14" i="68"/>
  <c r="H45" i="74"/>
  <c r="I45" i="74"/>
  <c r="I14" i="68"/>
  <c r="B85" i="67"/>
  <c r="H73" i="67"/>
  <c r="H74" i="67"/>
  <c r="H80" i="67"/>
  <c r="H81" i="67"/>
  <c r="H77" i="67"/>
  <c r="H78" i="67"/>
  <c r="B114" i="67"/>
  <c r="B108" i="67"/>
  <c r="B95" i="67"/>
  <c r="B91" i="67"/>
  <c r="B90" i="67"/>
  <c r="B86" i="67"/>
  <c r="B69" i="67"/>
  <c r="H40" i="68"/>
  <c r="I40" i="68"/>
  <c r="B182" i="67"/>
  <c r="F183" i="67"/>
  <c r="H183" i="67"/>
  <c r="B177" i="67"/>
  <c r="H180" i="67"/>
  <c r="H179" i="67"/>
  <c r="H181" i="67" s="1"/>
  <c r="H173" i="67"/>
  <c r="B172" i="67"/>
  <c r="H175" i="67"/>
  <c r="H174" i="67"/>
  <c r="H176" i="67"/>
  <c r="B167" i="67"/>
  <c r="H161" i="67"/>
  <c r="B66" i="67"/>
  <c r="B59" i="67"/>
  <c r="B53" i="67"/>
  <c r="B51" i="67"/>
  <c r="B50" i="67"/>
  <c r="C46" i="67"/>
  <c r="B46" i="67"/>
  <c r="B42" i="67"/>
  <c r="B38" i="67"/>
  <c r="B32" i="67"/>
  <c r="B160" i="67"/>
  <c r="B103" i="67"/>
  <c r="H101" i="67"/>
  <c r="B99" i="67"/>
  <c r="B26" i="67"/>
  <c r="H22" i="67"/>
  <c r="H21" i="67"/>
  <c r="B19" i="67"/>
  <c r="H18" i="67"/>
  <c r="H15" i="67"/>
  <c r="B14" i="67"/>
  <c r="B13" i="67"/>
  <c r="B9" i="67"/>
  <c r="B10" i="67"/>
  <c r="B31" i="67"/>
  <c r="A2" i="70"/>
  <c r="B147" i="67"/>
  <c r="H150" i="67"/>
  <c r="H149" i="67"/>
  <c r="H148" i="67"/>
  <c r="H151" i="67"/>
  <c r="I78" i="68"/>
  <c r="I80" i="68" s="1"/>
  <c r="G24" i="70" s="1"/>
  <c r="F26" i="70" s="1"/>
  <c r="F157" i="67"/>
  <c r="H157" i="67"/>
  <c r="H159" i="67"/>
  <c r="B156" i="67"/>
  <c r="B155" i="67"/>
  <c r="H146" i="67"/>
  <c r="H154" i="67"/>
  <c r="B145" i="67"/>
  <c r="B144" i="67"/>
  <c r="H135" i="67"/>
  <c r="H142" i="67"/>
  <c r="H143" i="67"/>
  <c r="B141" i="67"/>
  <c r="B134" i="67"/>
  <c r="H132" i="67"/>
  <c r="B131" i="67"/>
  <c r="H129" i="67"/>
  <c r="H133" i="67"/>
  <c r="B128" i="67"/>
  <c r="B127" i="67"/>
  <c r="B124" i="67"/>
  <c r="B121" i="67"/>
  <c r="B118" i="67"/>
  <c r="H125" i="67"/>
  <c r="H126" i="67"/>
  <c r="H119" i="67"/>
  <c r="H120" i="67"/>
  <c r="B117" i="67"/>
  <c r="H115" i="67"/>
  <c r="H116" i="67"/>
  <c r="B111" i="67"/>
  <c r="B107" i="67"/>
  <c r="H57" i="68"/>
  <c r="I57" i="68"/>
  <c r="I60" i="68"/>
  <c r="H93" i="67"/>
  <c r="H92" i="67"/>
  <c r="H94" i="67"/>
  <c r="M28" i="67"/>
  <c r="R28" i="67"/>
  <c r="M29" i="67"/>
  <c r="M30" i="67" s="1"/>
  <c r="R29" i="67"/>
  <c r="R30" i="67"/>
  <c r="M87" i="67"/>
  <c r="R87" i="67"/>
  <c r="R89" i="67"/>
  <c r="M88" i="67"/>
  <c r="M89" i="67" s="1"/>
  <c r="M92" i="67"/>
  <c r="R92" i="67"/>
  <c r="R94" i="67"/>
  <c r="M93" i="67"/>
  <c r="M94" i="67"/>
  <c r="R93" i="67"/>
  <c r="M96" i="67"/>
  <c r="R96" i="67"/>
  <c r="M97" i="67"/>
  <c r="R97" i="67"/>
  <c r="R98" i="67"/>
  <c r="M100" i="67"/>
  <c r="R100" i="67"/>
  <c r="R102" i="67"/>
  <c r="M101" i="67"/>
  <c r="M102" i="67" s="1"/>
  <c r="M104" i="67"/>
  <c r="R104" i="67"/>
  <c r="M105" i="67"/>
  <c r="M106" i="67" s="1"/>
  <c r="R105" i="67"/>
  <c r="R106" i="67" s="1"/>
  <c r="M109" i="67"/>
  <c r="M110" i="67"/>
  <c r="R109" i="67"/>
  <c r="R110" i="67"/>
  <c r="M112" i="67"/>
  <c r="M113" i="67"/>
  <c r="R112" i="67"/>
  <c r="R113" i="67"/>
  <c r="M115" i="67"/>
  <c r="M116" i="67"/>
  <c r="R115" i="67"/>
  <c r="R116" i="67"/>
  <c r="M118" i="67"/>
  <c r="R118" i="67"/>
  <c r="M119" i="67"/>
  <c r="R119" i="67"/>
  <c r="M120" i="67"/>
  <c r="R120" i="67"/>
  <c r="R122" i="67" s="1"/>
  <c r="M121" i="67"/>
  <c r="M124" i="67"/>
  <c r="M125" i="67"/>
  <c r="R124" i="67"/>
  <c r="R125" i="67"/>
  <c r="S125" i="67"/>
  <c r="M128" i="67"/>
  <c r="R128" i="67"/>
  <c r="M129" i="67"/>
  <c r="R129" i="67"/>
  <c r="M130" i="67"/>
  <c r="R130" i="67"/>
  <c r="M131" i="67"/>
  <c r="R131" i="67"/>
  <c r="M132" i="67"/>
  <c r="M135" i="67"/>
  <c r="R135" i="67"/>
  <c r="M136" i="67"/>
  <c r="R136" i="67"/>
  <c r="R137" i="67"/>
  <c r="R138" i="67"/>
  <c r="M139" i="67"/>
  <c r="M142" i="67"/>
  <c r="M143" i="67"/>
  <c r="R142" i="67"/>
  <c r="R143" i="67"/>
  <c r="S143" i="67" s="1"/>
  <c r="M145" i="67"/>
  <c r="R145" i="67"/>
  <c r="M146" i="67"/>
  <c r="R146" i="67"/>
  <c r="M147" i="67"/>
  <c r="R147" i="67"/>
  <c r="M148" i="67"/>
  <c r="R148" i="67"/>
  <c r="M149" i="67"/>
  <c r="R149" i="67"/>
  <c r="R150" i="67"/>
  <c r="R151" i="67"/>
  <c r="M154" i="67"/>
  <c r="R154" i="67"/>
  <c r="M155" i="67"/>
  <c r="R155" i="67"/>
  <c r="M156" i="67"/>
  <c r="R156" i="67"/>
  <c r="M160" i="67"/>
  <c r="R160" i="67"/>
  <c r="M161" i="67"/>
  <c r="R161" i="67"/>
  <c r="M162" i="67"/>
  <c r="R162" i="67"/>
  <c r="R163" i="67"/>
  <c r="R164" i="67"/>
  <c r="M167" i="67"/>
  <c r="M168" i="67"/>
  <c r="R167" i="67"/>
  <c r="R168" i="67"/>
  <c r="M170" i="67"/>
  <c r="R170" i="67"/>
  <c r="M171" i="67"/>
  <c r="R171" i="67"/>
  <c r="M172" i="67"/>
  <c r="R172" i="67"/>
  <c r="M173" i="67"/>
  <c r="R173" i="67"/>
  <c r="R174" i="67"/>
  <c r="R175" i="67"/>
  <c r="M178" i="67"/>
  <c r="R178" i="67"/>
  <c r="M179" i="67"/>
  <c r="R179" i="67"/>
  <c r="M180" i="67"/>
  <c r="R180" i="67"/>
  <c r="M181" i="67"/>
  <c r="R181" i="67"/>
  <c r="M182" i="67"/>
  <c r="R182" i="67"/>
  <c r="M183" i="67"/>
  <c r="R183" i="67"/>
  <c r="R184" i="67"/>
  <c r="R185" i="67"/>
  <c r="H28" i="67"/>
  <c r="H29" i="67"/>
  <c r="H11" i="67"/>
  <c r="H12" i="67"/>
  <c r="C20" i="63"/>
  <c r="H87" i="67"/>
  <c r="H89" i="67"/>
  <c r="S89" i="67"/>
  <c r="H96" i="67"/>
  <c r="H97" i="67"/>
  <c r="H98" i="67" s="1"/>
  <c r="H105" i="67"/>
  <c r="H106" i="67" s="1"/>
  <c r="S106" i="67" s="1"/>
  <c r="H109" i="67"/>
  <c r="F112" i="67"/>
  <c r="H112" i="67"/>
  <c r="H113" i="67"/>
  <c r="H136" i="67"/>
  <c r="H140" i="67"/>
  <c r="H162" i="67"/>
  <c r="H163" i="67"/>
  <c r="H169" i="67"/>
  <c r="H170" i="67"/>
  <c r="F7" i="56"/>
  <c r="O10" i="56"/>
  <c r="P10" i="56"/>
  <c r="B11" i="56"/>
  <c r="E11" i="56"/>
  <c r="H11" i="56"/>
  <c r="B89" i="56"/>
  <c r="K11" i="56"/>
  <c r="Q11" i="56"/>
  <c r="F12" i="56"/>
  <c r="N12" i="56"/>
  <c r="N13" i="56"/>
  <c r="Q15" i="56"/>
  <c r="B16" i="56"/>
  <c r="H16" i="56"/>
  <c r="K16" i="56"/>
  <c r="F17" i="56"/>
  <c r="Q19" i="56"/>
  <c r="P20" i="56"/>
  <c r="B21" i="56"/>
  <c r="E21" i="56"/>
  <c r="B29" i="56" s="1"/>
  <c r="H21" i="56"/>
  <c r="B99" i="56"/>
  <c r="K21" i="56"/>
  <c r="B26" i="56"/>
  <c r="B103" i="56"/>
  <c r="H26" i="56"/>
  <c r="K26" i="56"/>
  <c r="H30" i="56"/>
  <c r="O30" i="56"/>
  <c r="F47" i="56"/>
  <c r="B51" i="56"/>
  <c r="E51" i="56"/>
  <c r="H51" i="56"/>
  <c r="K51" i="56"/>
  <c r="F52" i="56"/>
  <c r="B56" i="56"/>
  <c r="E56" i="56"/>
  <c r="B68" i="56"/>
  <c r="H56" i="56"/>
  <c r="K56" i="56"/>
  <c r="H68" i="56"/>
  <c r="B61" i="56"/>
  <c r="E61" i="56"/>
  <c r="B69" i="56"/>
  <c r="H61" i="56"/>
  <c r="K61" i="56"/>
  <c r="H69" i="56"/>
  <c r="B66" i="56"/>
  <c r="E66" i="56"/>
  <c r="B70" i="56"/>
  <c r="H66" i="56"/>
  <c r="K66" i="56"/>
  <c r="H70" i="56"/>
  <c r="F87" i="56"/>
  <c r="B88" i="56"/>
  <c r="B90" i="56"/>
  <c r="F92" i="56"/>
  <c r="B94" i="56"/>
  <c r="B95" i="56"/>
  <c r="B98" i="56"/>
  <c r="B100" i="56"/>
  <c r="B105" i="56"/>
  <c r="F127" i="56"/>
  <c r="B131" i="56"/>
  <c r="E131" i="56"/>
  <c r="F132" i="56"/>
  <c r="B136" i="56"/>
  <c r="E136" i="56"/>
  <c r="B148" i="56"/>
  <c r="B141" i="56"/>
  <c r="E141" i="56"/>
  <c r="B149" i="56"/>
  <c r="B146" i="56"/>
  <c r="E146" i="56"/>
  <c r="B150" i="56"/>
  <c r="H155" i="56"/>
  <c r="H156" i="56"/>
  <c r="H157" i="56"/>
  <c r="E16" i="38"/>
  <c r="G16" i="38"/>
  <c r="E17" i="38"/>
  <c r="G17" i="38"/>
  <c r="E18" i="38"/>
  <c r="G18" i="38"/>
  <c r="E19" i="38"/>
  <c r="G19" i="38"/>
  <c r="E20" i="38"/>
  <c r="G20" i="38"/>
  <c r="E21" i="38"/>
  <c r="G21" i="38"/>
  <c r="E22" i="38"/>
  <c r="G22" i="38"/>
  <c r="E23" i="38"/>
  <c r="G23" i="38"/>
  <c r="E24" i="38"/>
  <c r="G24" i="38"/>
  <c r="E25" i="38"/>
  <c r="G25" i="38"/>
  <c r="E27" i="38"/>
  <c r="G27" i="38"/>
  <c r="E28" i="38"/>
  <c r="G28" i="38"/>
  <c r="E29" i="38"/>
  <c r="G29" i="38"/>
  <c r="E30" i="38"/>
  <c r="G30" i="38"/>
  <c r="E31" i="38"/>
  <c r="G31" i="38"/>
  <c r="E32" i="38"/>
  <c r="G32" i="38"/>
  <c r="E40" i="38"/>
  <c r="G40" i="38"/>
  <c r="E41" i="38"/>
  <c r="G41" i="38"/>
  <c r="E42" i="38"/>
  <c r="G42" i="38"/>
  <c r="E43" i="38"/>
  <c r="G43" i="38"/>
  <c r="E44" i="38"/>
  <c r="G44" i="38"/>
  <c r="E45" i="38"/>
  <c r="G45" i="38"/>
  <c r="E46" i="38"/>
  <c r="G46" i="38"/>
  <c r="E47" i="38"/>
  <c r="G47" i="38"/>
  <c r="C48" i="38"/>
  <c r="E48" i="38"/>
  <c r="G48" i="38"/>
  <c r="E49" i="38"/>
  <c r="G49" i="38"/>
  <c r="E50" i="38"/>
  <c r="G50" i="38"/>
  <c r="C55" i="38"/>
  <c r="E96" i="38"/>
  <c r="D55" i="38"/>
  <c r="F72" i="38"/>
  <c r="C100" i="38"/>
  <c r="E27" i="59"/>
  <c r="G27" i="59"/>
  <c r="E28" i="59"/>
  <c r="E29" i="59"/>
  <c r="G29" i="59"/>
  <c r="E30" i="59"/>
  <c r="G30" i="59"/>
  <c r="E31" i="59"/>
  <c r="G31" i="59"/>
  <c r="E32" i="59"/>
  <c r="G32" i="59"/>
  <c r="E33" i="59"/>
  <c r="G33" i="59"/>
  <c r="E34" i="59"/>
  <c r="G34" i="59"/>
  <c r="E35" i="59"/>
  <c r="G35" i="59"/>
  <c r="E36" i="59"/>
  <c r="G36" i="59"/>
  <c r="E37" i="59"/>
  <c r="G37" i="59"/>
  <c r="C38" i="59"/>
  <c r="C48" i="59"/>
  <c r="C73" i="59"/>
  <c r="D38" i="59"/>
  <c r="J40" i="59"/>
  <c r="F42" i="59"/>
  <c r="J50" i="59"/>
  <c r="F55" i="59"/>
  <c r="C97" i="59"/>
  <c r="F97" i="59"/>
  <c r="C112" i="59"/>
  <c r="K13" i="61"/>
  <c r="K14" i="61"/>
  <c r="K15" i="61"/>
  <c r="K16" i="61"/>
  <c r="K17" i="61"/>
  <c r="F18" i="61"/>
  <c r="K18" i="61"/>
  <c r="K19" i="61"/>
  <c r="K20" i="61"/>
  <c r="K21" i="61"/>
  <c r="K22" i="61"/>
  <c r="C29" i="61"/>
  <c r="K29" i="61"/>
  <c r="L29" i="61" s="1"/>
  <c r="C30" i="61"/>
  <c r="C32" i="61" s="1"/>
  <c r="E11" i="62"/>
  <c r="E12" i="62"/>
  <c r="E13" i="62"/>
  <c r="E14" i="62"/>
  <c r="E15" i="62"/>
  <c r="E16" i="62"/>
  <c r="E17" i="62"/>
  <c r="E18" i="62"/>
  <c r="D19" i="62"/>
  <c r="D32" i="62"/>
  <c r="D43" i="62"/>
  <c r="D45" i="62"/>
  <c r="E32" i="62"/>
  <c r="D40" i="62"/>
  <c r="D48" i="62"/>
  <c r="E40" i="62"/>
  <c r="C23" i="63"/>
  <c r="A8" i="57"/>
  <c r="B8" i="57"/>
  <c r="C8" i="57"/>
  <c r="D8" i="57"/>
  <c r="E8" i="57"/>
  <c r="F8" i="57"/>
  <c r="G8" i="57"/>
  <c r="H8" i="57"/>
  <c r="I8" i="57"/>
  <c r="J8" i="57"/>
  <c r="K8" i="57"/>
  <c r="L8" i="57"/>
  <c r="M8" i="57"/>
  <c r="N8" i="57"/>
  <c r="O8" i="57"/>
  <c r="P8" i="57"/>
  <c r="Q8" i="57"/>
  <c r="R8" i="57"/>
  <c r="S8" i="57"/>
  <c r="T8" i="57"/>
  <c r="U8" i="57"/>
  <c r="V8" i="57"/>
  <c r="W8" i="57"/>
  <c r="X8" i="57"/>
  <c r="Y8" i="57"/>
  <c r="Z8" i="57"/>
  <c r="AA8" i="57"/>
  <c r="AB8" i="57"/>
  <c r="AC8" i="57"/>
  <c r="AD8" i="57"/>
  <c r="AF8" i="57"/>
  <c r="AG8" i="57"/>
  <c r="AM8" i="57"/>
  <c r="AM38" i="57"/>
  <c r="AN8" i="57"/>
  <c r="AO8" i="57"/>
  <c r="AP8" i="57"/>
  <c r="AQ8" i="57"/>
  <c r="A9" i="57"/>
  <c r="B9" i="57"/>
  <c r="C9" i="57"/>
  <c r="D9" i="57"/>
  <c r="E9" i="57"/>
  <c r="F9" i="57"/>
  <c r="G9" i="57"/>
  <c r="H9" i="57"/>
  <c r="I9" i="57"/>
  <c r="J9" i="57"/>
  <c r="K9" i="57"/>
  <c r="L9" i="57"/>
  <c r="M9" i="57"/>
  <c r="N9" i="57"/>
  <c r="O9" i="57"/>
  <c r="P9" i="57"/>
  <c r="Q9" i="57"/>
  <c r="R9" i="57"/>
  <c r="S9" i="57"/>
  <c r="T9" i="57"/>
  <c r="U9" i="57"/>
  <c r="V9" i="57"/>
  <c r="W9" i="57"/>
  <c r="X9" i="57"/>
  <c r="Y9" i="57"/>
  <c r="Z9" i="57"/>
  <c r="AA9" i="57"/>
  <c r="AB9" i="57"/>
  <c r="AC9" i="57"/>
  <c r="AD9" i="57"/>
  <c r="AF9" i="57"/>
  <c r="AG9" i="57"/>
  <c r="AN9" i="57"/>
  <c r="AO9" i="57"/>
  <c r="AP9" i="57"/>
  <c r="AQ9" i="57"/>
  <c r="A10" i="57"/>
  <c r="B10" i="57"/>
  <c r="C10" i="57"/>
  <c r="D10" i="57"/>
  <c r="E10" i="57"/>
  <c r="F10" i="57"/>
  <c r="G10" i="57"/>
  <c r="H10" i="57"/>
  <c r="I10" i="57"/>
  <c r="J10" i="57"/>
  <c r="K10" i="57"/>
  <c r="L10" i="57"/>
  <c r="M10" i="57"/>
  <c r="N10" i="57"/>
  <c r="O10" i="57"/>
  <c r="P10" i="57"/>
  <c r="Q10" i="57"/>
  <c r="R10" i="57"/>
  <c r="S10" i="57"/>
  <c r="T10" i="57"/>
  <c r="U10" i="57"/>
  <c r="V10" i="57"/>
  <c r="W10" i="57"/>
  <c r="X10" i="57"/>
  <c r="Y10" i="57"/>
  <c r="Z10" i="57"/>
  <c r="AA10" i="57"/>
  <c r="AB10" i="57"/>
  <c r="AC10" i="57"/>
  <c r="AD10" i="57"/>
  <c r="AF10" i="57"/>
  <c r="AG10" i="57"/>
  <c r="AI10" i="57"/>
  <c r="AH10" i="57"/>
  <c r="AJ10" i="57"/>
  <c r="AK10" i="57"/>
  <c r="AL10" i="57"/>
  <c r="AM10" i="57"/>
  <c r="AN10" i="57"/>
  <c r="AO10" i="57"/>
  <c r="AP10" i="57"/>
  <c r="AQ10" i="57"/>
  <c r="A11" i="57"/>
  <c r="B11" i="57"/>
  <c r="C11" i="57"/>
  <c r="D11" i="57"/>
  <c r="E11" i="57"/>
  <c r="F11" i="57"/>
  <c r="G11" i="57"/>
  <c r="H11" i="57"/>
  <c r="I11" i="57"/>
  <c r="J11" i="57"/>
  <c r="K11" i="57"/>
  <c r="L11" i="57"/>
  <c r="M11" i="57"/>
  <c r="N11" i="57"/>
  <c r="O11" i="57"/>
  <c r="P11" i="57"/>
  <c r="Q11" i="57"/>
  <c r="R11" i="57"/>
  <c r="S11" i="57"/>
  <c r="T11" i="57"/>
  <c r="U11" i="57"/>
  <c r="V11" i="57"/>
  <c r="W11" i="57"/>
  <c r="X11" i="57"/>
  <c r="Y11" i="57"/>
  <c r="Z11" i="57"/>
  <c r="AA11" i="57"/>
  <c r="AB11" i="57"/>
  <c r="AC11" i="57"/>
  <c r="AD11" i="57"/>
  <c r="AF11" i="57"/>
  <c r="AG11" i="57"/>
  <c r="AH11" i="57"/>
  <c r="AI11" i="57"/>
  <c r="AL11" i="57"/>
  <c r="AM11" i="57"/>
  <c r="AN11" i="57"/>
  <c r="AO11" i="57"/>
  <c r="AP11" i="57"/>
  <c r="AQ11" i="57"/>
  <c r="A12" i="57"/>
  <c r="B12" i="57"/>
  <c r="C12" i="57"/>
  <c r="D12" i="57"/>
  <c r="E12" i="57"/>
  <c r="F12" i="57"/>
  <c r="G12" i="57"/>
  <c r="H12" i="57"/>
  <c r="I12" i="57"/>
  <c r="J12" i="57"/>
  <c r="K12" i="57"/>
  <c r="L12" i="57"/>
  <c r="M12" i="57"/>
  <c r="N12" i="57"/>
  <c r="O12" i="57"/>
  <c r="P12" i="57"/>
  <c r="Q12" i="57"/>
  <c r="R12" i="57"/>
  <c r="S12" i="57"/>
  <c r="T12" i="57"/>
  <c r="U12" i="57"/>
  <c r="V12" i="57"/>
  <c r="W12" i="57"/>
  <c r="X12" i="57"/>
  <c r="Y12" i="57"/>
  <c r="Z12" i="57"/>
  <c r="AA12" i="57"/>
  <c r="AB12" i="57"/>
  <c r="AC12" i="57"/>
  <c r="AD12" i="57"/>
  <c r="AF12" i="57"/>
  <c r="AG12" i="57"/>
  <c r="AM12" i="57"/>
  <c r="AN12" i="57"/>
  <c r="AO12" i="57"/>
  <c r="AP12" i="57"/>
  <c r="AQ12" i="57"/>
  <c r="A13" i="57"/>
  <c r="B13" i="57"/>
  <c r="C13" i="57"/>
  <c r="D13" i="57"/>
  <c r="E13" i="57"/>
  <c r="F13" i="57"/>
  <c r="G13" i="57"/>
  <c r="H13" i="57"/>
  <c r="I13" i="57"/>
  <c r="J13" i="57"/>
  <c r="K13" i="57"/>
  <c r="L13" i="57"/>
  <c r="M13" i="57"/>
  <c r="N13" i="57"/>
  <c r="O13" i="57"/>
  <c r="P13" i="57"/>
  <c r="Q13" i="57"/>
  <c r="R13" i="57"/>
  <c r="S13" i="57"/>
  <c r="T13" i="57"/>
  <c r="U13" i="57"/>
  <c r="V13" i="57"/>
  <c r="W13" i="57"/>
  <c r="X13" i="57"/>
  <c r="Y13" i="57"/>
  <c r="Z13" i="57"/>
  <c r="AA13" i="57"/>
  <c r="AB13" i="57"/>
  <c r="AC13" i="57"/>
  <c r="AD13" i="57"/>
  <c r="AF13" i="57"/>
  <c r="AG13" i="57"/>
  <c r="AH13" i="57"/>
  <c r="AJ13" i="57"/>
  <c r="AI13" i="57"/>
  <c r="AK13" i="57"/>
  <c r="AL13" i="57"/>
  <c r="AM13" i="57"/>
  <c r="AN13" i="57"/>
  <c r="AO13" i="57"/>
  <c r="AP13" i="57"/>
  <c r="AQ13" i="57"/>
  <c r="A14" i="57"/>
  <c r="B14" i="57"/>
  <c r="C14" i="57"/>
  <c r="D14" i="57"/>
  <c r="E14" i="57"/>
  <c r="F14" i="57"/>
  <c r="G14" i="57"/>
  <c r="H14" i="57"/>
  <c r="I14" i="57"/>
  <c r="J14" i="57"/>
  <c r="K14" i="57"/>
  <c r="L14" i="57"/>
  <c r="M14" i="57"/>
  <c r="N14" i="57"/>
  <c r="O14" i="57"/>
  <c r="P14" i="57"/>
  <c r="Q14" i="57"/>
  <c r="R14" i="57"/>
  <c r="S14" i="57"/>
  <c r="T14" i="57"/>
  <c r="U14" i="57"/>
  <c r="V14" i="57"/>
  <c r="W14" i="57"/>
  <c r="X14" i="57"/>
  <c r="Y14" i="57"/>
  <c r="Z14" i="57"/>
  <c r="AA14" i="57"/>
  <c r="AB14" i="57"/>
  <c r="AC14" i="57"/>
  <c r="AD14" i="57"/>
  <c r="AF14" i="57"/>
  <c r="AG14" i="57"/>
  <c r="AK14" i="57"/>
  <c r="AH14" i="57"/>
  <c r="AN14" i="57"/>
  <c r="AO14" i="57"/>
  <c r="AP14" i="57"/>
  <c r="AQ14" i="57"/>
  <c r="A15" i="57"/>
  <c r="B15" i="57"/>
  <c r="C15" i="57"/>
  <c r="D15" i="57"/>
  <c r="E15" i="57"/>
  <c r="F15" i="57"/>
  <c r="G15" i="57"/>
  <c r="H15" i="57"/>
  <c r="I15" i="57"/>
  <c r="J15" i="57"/>
  <c r="K15" i="57"/>
  <c r="L15" i="57"/>
  <c r="M15" i="57"/>
  <c r="N15" i="57"/>
  <c r="O15" i="57"/>
  <c r="P15" i="57"/>
  <c r="Q15" i="57"/>
  <c r="R15" i="57"/>
  <c r="S15" i="57"/>
  <c r="T15" i="57"/>
  <c r="U15" i="57"/>
  <c r="V15" i="57"/>
  <c r="W15" i="57"/>
  <c r="X15" i="57"/>
  <c r="Y15" i="57"/>
  <c r="Z15" i="57"/>
  <c r="AA15" i="57"/>
  <c r="AB15" i="57"/>
  <c r="AC15" i="57"/>
  <c r="AD15" i="57"/>
  <c r="AF15" i="57"/>
  <c r="AG15" i="57"/>
  <c r="AJ15" i="57"/>
  <c r="AH15" i="57"/>
  <c r="AI15" i="57"/>
  <c r="AK15" i="57"/>
  <c r="AL15" i="57"/>
  <c r="AM15" i="57"/>
  <c r="AN15" i="57"/>
  <c r="AO15" i="57"/>
  <c r="AP15" i="57"/>
  <c r="AQ15" i="57"/>
  <c r="A16" i="57"/>
  <c r="B16" i="57"/>
  <c r="C16" i="57"/>
  <c r="D16" i="57"/>
  <c r="E16" i="57"/>
  <c r="F16" i="57"/>
  <c r="G16" i="57"/>
  <c r="H16" i="57"/>
  <c r="I16" i="57"/>
  <c r="J16" i="57"/>
  <c r="K16" i="57"/>
  <c r="L16" i="57"/>
  <c r="M16" i="57"/>
  <c r="N16" i="57"/>
  <c r="O16" i="57"/>
  <c r="P16" i="57"/>
  <c r="Q16" i="57"/>
  <c r="R16" i="57"/>
  <c r="S16" i="57"/>
  <c r="T16" i="57"/>
  <c r="U16" i="57"/>
  <c r="V16" i="57"/>
  <c r="W16" i="57"/>
  <c r="X16" i="57"/>
  <c r="Y16" i="57"/>
  <c r="Z16" i="57"/>
  <c r="AA16" i="57"/>
  <c r="AB16" i="57"/>
  <c r="AC16" i="57"/>
  <c r="AD16" i="57"/>
  <c r="AF16" i="57"/>
  <c r="AG16" i="57"/>
  <c r="AH16" i="57"/>
  <c r="AK16" i="57"/>
  <c r="AN16" i="57"/>
  <c r="AO16" i="57"/>
  <c r="AP16" i="57"/>
  <c r="AQ16" i="57"/>
  <c r="A17" i="57"/>
  <c r="B17" i="57"/>
  <c r="C17" i="57"/>
  <c r="D17" i="57"/>
  <c r="E17" i="57"/>
  <c r="F17" i="57"/>
  <c r="G17" i="57"/>
  <c r="H17" i="57"/>
  <c r="I17" i="57"/>
  <c r="J17" i="57"/>
  <c r="K17" i="57"/>
  <c r="L17" i="57"/>
  <c r="M17" i="57"/>
  <c r="N17" i="57"/>
  <c r="O17" i="57"/>
  <c r="P17" i="57"/>
  <c r="Q17" i="57"/>
  <c r="R17" i="57"/>
  <c r="S17" i="57"/>
  <c r="T17" i="57"/>
  <c r="U17" i="57"/>
  <c r="V17" i="57"/>
  <c r="W17" i="57"/>
  <c r="X17" i="57"/>
  <c r="Y17" i="57"/>
  <c r="Z17" i="57"/>
  <c r="AA17" i="57"/>
  <c r="AB17" i="57"/>
  <c r="AC17" i="57"/>
  <c r="AD17" i="57"/>
  <c r="AF17" i="57"/>
  <c r="AG17" i="57"/>
  <c r="AM17" i="57"/>
  <c r="AN17" i="57"/>
  <c r="AO17" i="57"/>
  <c r="AP17" i="57"/>
  <c r="AQ17" i="57"/>
  <c r="A18" i="57"/>
  <c r="B18" i="57"/>
  <c r="C18" i="57"/>
  <c r="D18" i="57"/>
  <c r="E18" i="57"/>
  <c r="F18" i="57"/>
  <c r="G18" i="57"/>
  <c r="H18" i="57"/>
  <c r="I18" i="57"/>
  <c r="J18" i="57"/>
  <c r="K18" i="57"/>
  <c r="L18" i="57"/>
  <c r="M18" i="57"/>
  <c r="N18" i="57"/>
  <c r="O18" i="57"/>
  <c r="P18" i="57"/>
  <c r="Q18" i="57"/>
  <c r="R18" i="57"/>
  <c r="S18" i="57"/>
  <c r="T18" i="57"/>
  <c r="U18" i="57"/>
  <c r="V18" i="57"/>
  <c r="W18" i="57"/>
  <c r="X18" i="57"/>
  <c r="Y18" i="57"/>
  <c r="Z18" i="57"/>
  <c r="AA18" i="57"/>
  <c r="AB18" i="57"/>
  <c r="AC18" i="57"/>
  <c r="AD18" i="57"/>
  <c r="AF18" i="57"/>
  <c r="AG18" i="57"/>
  <c r="AN18" i="57"/>
  <c r="AO18" i="57"/>
  <c r="AP18" i="57"/>
  <c r="AQ18" i="57"/>
  <c r="D35" i="57"/>
  <c r="F36" i="57"/>
  <c r="D38" i="57"/>
  <c r="F38" i="57"/>
  <c r="G38" i="57"/>
  <c r="H38" i="57"/>
  <c r="I38" i="57"/>
  <c r="J38" i="57"/>
  <c r="K38" i="57"/>
  <c r="L38" i="57"/>
  <c r="M38" i="57"/>
  <c r="N38" i="57"/>
  <c r="O38" i="57"/>
  <c r="P38" i="57"/>
  <c r="Q38" i="57"/>
  <c r="R38" i="57"/>
  <c r="S38" i="57"/>
  <c r="T38" i="57"/>
  <c r="U38" i="57"/>
  <c r="V38" i="57"/>
  <c r="W38" i="57"/>
  <c r="X38" i="57"/>
  <c r="Y38" i="57"/>
  <c r="Z38" i="57"/>
  <c r="AA38" i="57"/>
  <c r="AB38" i="57"/>
  <c r="AC38" i="57"/>
  <c r="AD38" i="57"/>
  <c r="AE38" i="57"/>
  <c r="AF38" i="57"/>
  <c r="AN38" i="57"/>
  <c r="AO38" i="57"/>
  <c r="AP38" i="57"/>
  <c r="AQ38" i="57"/>
  <c r="A14" i="58"/>
  <c r="B14" i="58"/>
  <c r="C14" i="58"/>
  <c r="D14" i="58"/>
  <c r="H14" i="58"/>
  <c r="F14" i="58"/>
  <c r="I14" i="58"/>
  <c r="U14" i="58"/>
  <c r="J14" i="58"/>
  <c r="K14" i="58"/>
  <c r="L14" i="58"/>
  <c r="M14" i="58"/>
  <c r="O14" i="58" s="1"/>
  <c r="Z14" i="58" s="1"/>
  <c r="Z41" i="58" s="1"/>
  <c r="A15" i="58"/>
  <c r="B15" i="58"/>
  <c r="C15" i="58"/>
  <c r="D15" i="58"/>
  <c r="H15" i="58"/>
  <c r="F15" i="58"/>
  <c r="I15" i="58"/>
  <c r="J15" i="58"/>
  <c r="K15" i="58"/>
  <c r="L15" i="58"/>
  <c r="M15" i="58"/>
  <c r="A16" i="58"/>
  <c r="B16" i="58"/>
  <c r="C16" i="58"/>
  <c r="D16" i="58"/>
  <c r="H16" i="58"/>
  <c r="F16" i="58" s="1"/>
  <c r="I16" i="58" s="1"/>
  <c r="N16" i="58" s="1"/>
  <c r="J16" i="58"/>
  <c r="K16" i="58"/>
  <c r="L16" i="58"/>
  <c r="M16" i="58"/>
  <c r="A17" i="58"/>
  <c r="B17" i="58"/>
  <c r="C17" i="58"/>
  <c r="D17" i="58"/>
  <c r="H17" i="58"/>
  <c r="F17" i="58"/>
  <c r="I17" i="58"/>
  <c r="J17" i="58"/>
  <c r="K17" i="58"/>
  <c r="L17" i="58"/>
  <c r="M17" i="58"/>
  <c r="A18" i="58"/>
  <c r="B18" i="58"/>
  <c r="C18" i="58"/>
  <c r="D18" i="58"/>
  <c r="H18" i="58"/>
  <c r="F18" i="58" s="1"/>
  <c r="I18" i="58" s="1"/>
  <c r="N18" i="58" s="1"/>
  <c r="J18" i="58"/>
  <c r="K18" i="58"/>
  <c r="L18" i="58"/>
  <c r="M18" i="58"/>
  <c r="O18" i="58"/>
  <c r="Z18" i="58"/>
  <c r="A19" i="58"/>
  <c r="B19" i="58"/>
  <c r="C19" i="58"/>
  <c r="D19" i="58"/>
  <c r="H19" i="58"/>
  <c r="F19" i="58"/>
  <c r="I19" i="58"/>
  <c r="N19" i="58"/>
  <c r="J19" i="58"/>
  <c r="K19" i="58"/>
  <c r="L19" i="58"/>
  <c r="M19" i="58"/>
  <c r="A20" i="58"/>
  <c r="B20" i="58"/>
  <c r="C20" i="58"/>
  <c r="D20" i="58"/>
  <c r="H20" i="58"/>
  <c r="F20" i="58" s="1"/>
  <c r="I20" i="58" s="1"/>
  <c r="N20" i="58" s="1"/>
  <c r="J20" i="58"/>
  <c r="K20" i="58"/>
  <c r="L20" i="58"/>
  <c r="M20" i="58"/>
  <c r="O20" i="58"/>
  <c r="A21" i="58"/>
  <c r="B21" i="58"/>
  <c r="C21" i="58"/>
  <c r="D21" i="58"/>
  <c r="H21" i="58"/>
  <c r="F21" i="58"/>
  <c r="I21" i="58"/>
  <c r="U21" i="58"/>
  <c r="J21" i="58"/>
  <c r="K21" i="58"/>
  <c r="L21" i="58"/>
  <c r="M21" i="58"/>
  <c r="A22" i="58"/>
  <c r="B22" i="58"/>
  <c r="C22" i="58"/>
  <c r="D22" i="58"/>
  <c r="H22" i="58"/>
  <c r="F22" i="58" s="1"/>
  <c r="I22" i="58" s="1"/>
  <c r="U22" i="58" s="1"/>
  <c r="J22" i="58"/>
  <c r="K22" i="58"/>
  <c r="L22" i="58"/>
  <c r="M22" i="58"/>
  <c r="O22" i="58"/>
  <c r="A23" i="58"/>
  <c r="B23" i="58"/>
  <c r="C23" i="58"/>
  <c r="D23" i="58"/>
  <c r="H23" i="58"/>
  <c r="F23" i="58"/>
  <c r="I23" i="58"/>
  <c r="U23" i="58"/>
  <c r="J23" i="58"/>
  <c r="K23" i="58"/>
  <c r="L23" i="58"/>
  <c r="M23" i="58"/>
  <c r="O23" i="58" s="1"/>
  <c r="A24" i="58"/>
  <c r="B24" i="58"/>
  <c r="C24" i="58"/>
  <c r="D24" i="58"/>
  <c r="H24" i="58"/>
  <c r="F24" i="58"/>
  <c r="I24" i="58"/>
  <c r="U24" i="58"/>
  <c r="J24" i="58"/>
  <c r="K24" i="58"/>
  <c r="L24" i="58"/>
  <c r="M24" i="58"/>
  <c r="J25" i="58"/>
  <c r="O25" i="58"/>
  <c r="Z25" i="58"/>
  <c r="N25" i="58"/>
  <c r="S25" i="58"/>
  <c r="U25" i="58"/>
  <c r="N26" i="58"/>
  <c r="Q26" i="58"/>
  <c r="O26" i="58"/>
  <c r="X26" i="58"/>
  <c r="S26" i="58"/>
  <c r="U26" i="58"/>
  <c r="N27" i="58"/>
  <c r="O27" i="58"/>
  <c r="S27" i="58"/>
  <c r="U27" i="58"/>
  <c r="C39" i="58"/>
  <c r="H39" i="58"/>
  <c r="I39" i="58"/>
  <c r="X39" i="58"/>
  <c r="Z39" i="58"/>
  <c r="T43" i="58"/>
  <c r="T45" i="58"/>
  <c r="Z20" i="58"/>
  <c r="X20" i="58"/>
  <c r="Z22" i="58"/>
  <c r="X23" i="58"/>
  <c r="Q20" i="58"/>
  <c r="S20" i="58"/>
  <c r="S16" i="58"/>
  <c r="O15" i="58"/>
  <c r="U19" i="58"/>
  <c r="N24" i="58"/>
  <c r="U20" i="58"/>
  <c r="U18" i="58"/>
  <c r="U16" i="58"/>
  <c r="N21" i="58"/>
  <c r="S21" i="58"/>
  <c r="N17" i="58"/>
  <c r="U17" i="58"/>
  <c r="P26" i="58"/>
  <c r="Q25" i="58"/>
  <c r="O21" i="58"/>
  <c r="O19" i="58"/>
  <c r="O17" i="58"/>
  <c r="N14" i="58"/>
  <c r="AJ18" i="57"/>
  <c r="AJ16" i="57"/>
  <c r="AJ14" i="57"/>
  <c r="G28" i="59"/>
  <c r="G38" i="59" s="1"/>
  <c r="C87" i="59" s="1"/>
  <c r="F86" i="59" s="1"/>
  <c r="E38" i="59"/>
  <c r="AM18" i="57"/>
  <c r="AI18" i="57"/>
  <c r="AM16" i="57"/>
  <c r="AI16" i="57"/>
  <c r="AM14" i="57"/>
  <c r="AI14" i="57"/>
  <c r="AI12" i="57"/>
  <c r="AK11" i="57"/>
  <c r="F48" i="59"/>
  <c r="C80" i="59"/>
  <c r="C92" i="59"/>
  <c r="F91" i="59"/>
  <c r="C103" i="59"/>
  <c r="F102" i="59"/>
  <c r="C66" i="59"/>
  <c r="C60" i="59"/>
  <c r="F59" i="59"/>
  <c r="AL18" i="57"/>
  <c r="AL16" i="57"/>
  <c r="AL14" i="57"/>
  <c r="AL12" i="57"/>
  <c r="AJ11" i="57"/>
  <c r="E19" i="62"/>
  <c r="C106" i="59"/>
  <c r="F106" i="59"/>
  <c r="F80" i="38"/>
  <c r="E92" i="38"/>
  <c r="F79" i="38"/>
  <c r="Q21" i="56"/>
  <c r="C79" i="59"/>
  <c r="F78" i="59" s="1"/>
  <c r="E55" i="38"/>
  <c r="B104" i="56"/>
  <c r="B106" i="56"/>
  <c r="E16" i="56"/>
  <c r="B28" i="56"/>
  <c r="B93" i="56"/>
  <c r="B96" i="56"/>
  <c r="H28" i="56"/>
  <c r="B67" i="56"/>
  <c r="B71" i="56"/>
  <c r="X17" i="58"/>
  <c r="Y17" i="58"/>
  <c r="Z17" i="58"/>
  <c r="X15" i="58"/>
  <c r="Y15" i="58"/>
  <c r="Y43" i="58"/>
  <c r="Z15" i="58"/>
  <c r="Z43" i="58"/>
  <c r="Q14" i="58"/>
  <c r="Q41" i="58"/>
  <c r="S17" i="58"/>
  <c r="P17" i="58"/>
  <c r="Q17" i="58"/>
  <c r="E43" i="62"/>
  <c r="E45" i="62"/>
  <c r="E48" i="62"/>
  <c r="P21" i="58"/>
  <c r="Q21" i="58"/>
  <c r="X19" i="58"/>
  <c r="Y19" i="58" s="1"/>
  <c r="Z19" i="58"/>
  <c r="H104" i="56"/>
  <c r="H106" i="56"/>
  <c r="K106" i="56"/>
  <c r="H110" i="56"/>
  <c r="E106" i="56"/>
  <c r="B110" i="56"/>
  <c r="F54" i="59"/>
  <c r="F49" i="59"/>
  <c r="F50" i="59"/>
  <c r="K50" i="59"/>
  <c r="L50" i="59"/>
  <c r="X21" i="58"/>
  <c r="Y21" i="58"/>
  <c r="Z21" i="58"/>
  <c r="V26" i="58"/>
  <c r="W26" i="58" s="1"/>
  <c r="Q24" i="58"/>
  <c r="X27" i="58"/>
  <c r="Y27" i="58"/>
  <c r="Z27" i="58"/>
  <c r="P18" i="58"/>
  <c r="S18" i="58"/>
  <c r="Q18" i="58"/>
  <c r="G55" i="38"/>
  <c r="E86" i="38"/>
  <c r="S19" i="58"/>
  <c r="Q19" i="58"/>
  <c r="AH9" i="57"/>
  <c r="AK9" i="57"/>
  <c r="AJ9" i="57"/>
  <c r="AI9" i="57"/>
  <c r="AM9" i="57"/>
  <c r="AL9" i="57"/>
  <c r="F108" i="59"/>
  <c r="P19" i="58"/>
  <c r="E96" i="56"/>
  <c r="B108" i="56"/>
  <c r="H94" i="56"/>
  <c r="H96" i="56"/>
  <c r="K96" i="56"/>
  <c r="H108" i="56"/>
  <c r="N39" i="58"/>
  <c r="U39" i="58"/>
  <c r="V17" i="58"/>
  <c r="W17" i="58"/>
  <c r="S14" i="58"/>
  <c r="S41" i="58"/>
  <c r="P14" i="58"/>
  <c r="S24" i="58"/>
  <c r="E89" i="38"/>
  <c r="AJ12" i="57"/>
  <c r="P25" i="58"/>
  <c r="Y26" i="58"/>
  <c r="Y39" i="58"/>
  <c r="Y20" i="58"/>
  <c r="C72" i="59"/>
  <c r="F71" i="59"/>
  <c r="C65" i="59"/>
  <c r="F64" i="59"/>
  <c r="B147" i="56"/>
  <c r="B151" i="56"/>
  <c r="H67" i="56"/>
  <c r="H71" i="56"/>
  <c r="X25" i="58"/>
  <c r="Y25" i="58"/>
  <c r="N23" i="58"/>
  <c r="Q16" i="58"/>
  <c r="Z26" i="58"/>
  <c r="P27" i="58"/>
  <c r="Y23" i="58"/>
  <c r="Z23" i="58"/>
  <c r="N22" i="58"/>
  <c r="AH18" i="57"/>
  <c r="AK18" i="57"/>
  <c r="AK8" i="57"/>
  <c r="AK38" i="57"/>
  <c r="AL8" i="57"/>
  <c r="AL38" i="57"/>
  <c r="AH8" i="57"/>
  <c r="AH38" i="57"/>
  <c r="AG38" i="57"/>
  <c r="AI8" i="57"/>
  <c r="AI38" i="57"/>
  <c r="AJ8" i="57"/>
  <c r="AJ38" i="57"/>
  <c r="B91" i="56"/>
  <c r="H27" i="56"/>
  <c r="B27" i="56"/>
  <c r="X22" i="58"/>
  <c r="Y22" i="58"/>
  <c r="X18" i="58"/>
  <c r="Y18" i="58"/>
  <c r="N15" i="58"/>
  <c r="U15" i="58"/>
  <c r="AK17" i="57"/>
  <c r="AL17" i="57"/>
  <c r="AJ17" i="57"/>
  <c r="AH17" i="57"/>
  <c r="AI17" i="57"/>
  <c r="F81" i="38"/>
  <c r="E95" i="38"/>
  <c r="E97" i="38"/>
  <c r="F65" i="38"/>
  <c r="X14" i="58"/>
  <c r="Y14" i="58" s="1"/>
  <c r="Y41" i="58" s="1"/>
  <c r="Y45" i="58" s="1"/>
  <c r="AH12" i="57"/>
  <c r="AK12" i="57"/>
  <c r="Q27" i="58"/>
  <c r="E26" i="56"/>
  <c r="B30" i="56"/>
  <c r="V18" i="58"/>
  <c r="W18" i="58" s="1"/>
  <c r="P15" i="58"/>
  <c r="Q15" i="58"/>
  <c r="Q43" i="58"/>
  <c r="Q45" i="58"/>
  <c r="S15" i="58"/>
  <c r="S43" i="58"/>
  <c r="Q22" i="58"/>
  <c r="P22" i="58"/>
  <c r="S22" i="58"/>
  <c r="S23" i="58"/>
  <c r="Q23" i="58"/>
  <c r="P23" i="58"/>
  <c r="P41" i="58"/>
  <c r="V14" i="58"/>
  <c r="V41" i="58"/>
  <c r="V19" i="58"/>
  <c r="W19" i="58"/>
  <c r="F66" i="38"/>
  <c r="F67" i="38"/>
  <c r="F75" i="38"/>
  <c r="F71" i="38"/>
  <c r="S45" i="58"/>
  <c r="V25" i="58"/>
  <c r="W25" i="58"/>
  <c r="P39" i="58"/>
  <c r="S39" i="58"/>
  <c r="Q39" i="58"/>
  <c r="H89" i="56"/>
  <c r="H91" i="56"/>
  <c r="K91" i="56"/>
  <c r="H107" i="56"/>
  <c r="E91" i="56"/>
  <c r="B107" i="56"/>
  <c r="V27" i="58"/>
  <c r="W27" i="58"/>
  <c r="V23" i="58"/>
  <c r="W23" i="58"/>
  <c r="V15" i="58"/>
  <c r="V43" i="58"/>
  <c r="V45" i="58"/>
  <c r="W15" i="58"/>
  <c r="W43" i="58"/>
  <c r="P43" i="58"/>
  <c r="P45" i="58" s="1"/>
  <c r="V39" i="58"/>
  <c r="W39" i="58"/>
  <c r="W14" i="58"/>
  <c r="W41" i="58"/>
  <c r="V22" i="58"/>
  <c r="W22" i="58" s="1"/>
  <c r="W45" i="58"/>
  <c r="H40" i="67"/>
  <c r="H44" i="67"/>
  <c r="H45" i="67" s="1"/>
  <c r="D48" i="67"/>
  <c r="H48" i="67"/>
  <c r="S176" i="67"/>
  <c r="C26" i="63"/>
  <c r="C28" i="63"/>
  <c r="C17" i="63"/>
  <c r="H36" i="67"/>
  <c r="F122" i="67"/>
  <c r="H122" i="67"/>
  <c r="H123" i="67"/>
  <c r="M176" i="67"/>
  <c r="H70" i="67"/>
  <c r="H71" i="67"/>
  <c r="H67" i="67"/>
  <c r="H68" i="67"/>
  <c r="H55" i="67"/>
  <c r="H62" i="67"/>
  <c r="H35" i="67"/>
  <c r="H61" i="67"/>
  <c r="H60" i="67"/>
  <c r="H63" i="67"/>
  <c r="H65" i="67"/>
  <c r="H39" i="67"/>
  <c r="H41" i="67"/>
  <c r="H34" i="67"/>
  <c r="H37" i="67" s="1"/>
  <c r="D47" i="67"/>
  <c r="H47" i="67"/>
  <c r="S113" i="67"/>
  <c r="M98" i="67"/>
  <c r="H30" i="67"/>
  <c r="M140" i="67"/>
  <c r="M152" i="67"/>
  <c r="H56" i="67"/>
  <c r="R133" i="67"/>
  <c r="H110" i="67"/>
  <c r="S110" i="67" s="1"/>
  <c r="H166" i="67"/>
  <c r="F168" i="67"/>
  <c r="H168" i="67"/>
  <c r="H171" i="67"/>
  <c r="H57" i="67"/>
  <c r="H130" i="67"/>
  <c r="R165" i="67"/>
  <c r="M165" i="67"/>
  <c r="S165" i="67"/>
  <c r="H54" i="67"/>
  <c r="H58" i="67" s="1"/>
  <c r="I84" i="68"/>
  <c r="E24" i="67"/>
  <c r="G24" i="67"/>
  <c r="F24" i="67"/>
  <c r="B7" i="69"/>
  <c r="I21" i="68"/>
  <c r="F100" i="67"/>
  <c r="H100" i="67"/>
  <c r="H102" i="67"/>
  <c r="S102" i="67"/>
  <c r="S98" i="67"/>
  <c r="H185" i="67"/>
  <c r="S168" i="67"/>
  <c r="S30" i="67"/>
  <c r="S94" i="67"/>
  <c r="H49" i="67"/>
  <c r="H29" i="56"/>
  <c r="H31" i="56"/>
  <c r="H16" i="74"/>
  <c r="I16" i="74"/>
  <c r="I19" i="68"/>
  <c r="I30" i="68"/>
  <c r="I38" i="68"/>
  <c r="H22" i="74"/>
  <c r="I22" i="74"/>
  <c r="H41" i="74"/>
  <c r="I41" i="74"/>
  <c r="I86" i="68"/>
  <c r="D14" i="70"/>
  <c r="F14" i="70"/>
  <c r="F8" i="70"/>
  <c r="D8" i="70"/>
  <c r="E8" i="70"/>
  <c r="H29" i="74"/>
  <c r="I29" i="74"/>
  <c r="I17" i="68"/>
  <c r="I36" i="68"/>
  <c r="I39" i="68"/>
  <c r="I87" i="68"/>
  <c r="I89" i="68"/>
  <c r="G27" i="70"/>
  <c r="H15" i="74"/>
  <c r="I15" i="74"/>
  <c r="H27" i="74"/>
  <c r="I27" i="74"/>
  <c r="H39" i="74"/>
  <c r="I39" i="74"/>
  <c r="I31" i="68"/>
  <c r="I50" i="68"/>
  <c r="I54" i="68"/>
  <c r="I64" i="68"/>
  <c r="I66" i="68"/>
  <c r="I67" i="68" s="1"/>
  <c r="G18" i="70" s="1"/>
  <c r="I20" i="68"/>
  <c r="H30" i="74"/>
  <c r="I30" i="74"/>
  <c r="H13" i="74"/>
  <c r="I13" i="74"/>
  <c r="I73" i="68"/>
  <c r="I74" i="68"/>
  <c r="G21" i="70"/>
  <c r="I44" i="68"/>
  <c r="G15" i="70"/>
  <c r="I48" i="74"/>
  <c r="J12" i="74"/>
  <c r="I23" i="68"/>
  <c r="G9" i="70"/>
  <c r="E11" i="70"/>
  <c r="E29" i="70"/>
  <c r="F29" i="70"/>
  <c r="F11" i="70"/>
  <c r="D11" i="70"/>
  <c r="D17" i="70"/>
  <c r="E17" i="70"/>
  <c r="E20" i="70"/>
  <c r="D20" i="70"/>
  <c r="I91" i="68"/>
  <c r="F23" i="70"/>
  <c r="E23" i="70"/>
  <c r="J31" i="74"/>
  <c r="J10" i="74"/>
  <c r="J23" i="74"/>
  <c r="J40" i="74"/>
  <c r="J44" i="74"/>
  <c r="J42" i="74"/>
  <c r="J32" i="74"/>
  <c r="J19" i="74"/>
  <c r="J22" i="74"/>
  <c r="J26" i="74"/>
  <c r="J18" i="74"/>
  <c r="J45" i="74"/>
  <c r="J46" i="74"/>
  <c r="J21" i="74"/>
  <c r="J16" i="74"/>
  <c r="J24" i="74"/>
  <c r="J35" i="74"/>
  <c r="J15" i="74"/>
  <c r="J9" i="74"/>
  <c r="K9" i="74"/>
  <c r="J37" i="74"/>
  <c r="J34" i="74"/>
  <c r="J41" i="74"/>
  <c r="J27" i="74"/>
  <c r="J33" i="74"/>
  <c r="J38" i="74"/>
  <c r="J14" i="74"/>
  <c r="J43" i="74"/>
  <c r="J30" i="74"/>
  <c r="J11" i="74"/>
  <c r="J17" i="74"/>
  <c r="J39" i="74"/>
  <c r="F30" i="70"/>
  <c r="D30" i="70"/>
  <c r="J28" i="74"/>
  <c r="J20" i="74"/>
  <c r="J29" i="74"/>
  <c r="J36" i="74"/>
  <c r="J25" i="74"/>
  <c r="J13" i="74"/>
  <c r="G30" i="70"/>
  <c r="D32" i="70"/>
  <c r="D31" i="70"/>
  <c r="D33" i="70"/>
  <c r="F31" i="70"/>
  <c r="E30" i="70"/>
  <c r="C24" i="70"/>
  <c r="C21" i="70"/>
  <c r="C15" i="70"/>
  <c r="C9" i="70"/>
  <c r="C27" i="70"/>
  <c r="C6" i="70"/>
  <c r="C12" i="70"/>
  <c r="C18" i="70"/>
  <c r="E32" i="70"/>
  <c r="F32" i="70"/>
  <c r="E31" i="70"/>
  <c r="G31" i="70"/>
  <c r="E33" i="70"/>
  <c r="F33" i="70"/>
  <c r="K10" i="74"/>
  <c r="K11" i="74"/>
  <c r="K12" i="74"/>
  <c r="K13" i="74"/>
  <c r="K14" i="74"/>
  <c r="K15" i="74"/>
  <c r="K16" i="74"/>
  <c r="K17" i="74"/>
  <c r="K18" i="74"/>
  <c r="K19" i="74"/>
  <c r="K20" i="74"/>
  <c r="K21" i="74"/>
  <c r="K22" i="74"/>
  <c r="K23" i="74"/>
  <c r="K24" i="74"/>
  <c r="K25" i="74"/>
  <c r="K26" i="74"/>
  <c r="K27" i="74"/>
  <c r="K28" i="74"/>
  <c r="K29" i="74"/>
  <c r="K30" i="74"/>
  <c r="K31" i="74"/>
  <c r="K32" i="74"/>
  <c r="K33" i="74"/>
  <c r="K34" i="74"/>
  <c r="K35" i="74"/>
  <c r="K36" i="74"/>
  <c r="K37" i="74"/>
  <c r="K38" i="74"/>
  <c r="K39" i="74"/>
  <c r="K40" i="74"/>
  <c r="K41" i="74"/>
  <c r="K42" i="74"/>
  <c r="K43" i="74"/>
  <c r="K44" i="74"/>
  <c r="K45" i="74"/>
  <c r="K46" i="74"/>
  <c r="H24" i="67" l="1"/>
  <c r="E25" i="67" s="1"/>
  <c r="H25" i="67" s="1"/>
  <c r="B31" i="56"/>
  <c r="V21" i="58"/>
  <c r="W21" i="58"/>
  <c r="O24" i="58"/>
  <c r="P20" i="58"/>
  <c r="O16" i="58"/>
  <c r="P16" i="58"/>
  <c r="Z45" i="58"/>
  <c r="M29" i="61"/>
  <c r="N29" i="61" s="1"/>
  <c r="B101" i="56"/>
  <c r="R176" i="67"/>
  <c r="R157" i="67"/>
  <c r="M157" i="67"/>
  <c r="S157" i="67" s="1"/>
  <c r="R152" i="67"/>
  <c r="S152" i="67" s="1"/>
  <c r="R140" i="67"/>
  <c r="S140" i="67" s="1"/>
  <c r="M133" i="67"/>
  <c r="S133" i="67" s="1"/>
  <c r="M122" i="67"/>
  <c r="S122" i="67" s="1"/>
  <c r="S116" i="67"/>
  <c r="H99" i="56" l="1"/>
  <c r="H101" i="56" s="1"/>
  <c r="K101" i="56" s="1"/>
  <c r="H109" i="56" s="1"/>
  <c r="H111" i="56" s="1"/>
  <c r="E101" i="56"/>
  <c r="B109" i="56" s="1"/>
  <c r="B111" i="56" s="1"/>
  <c r="V16" i="58"/>
  <c r="W16" i="58"/>
  <c r="Z16" i="58"/>
  <c r="X16" i="58"/>
  <c r="Y16" i="58"/>
  <c r="V20" i="58"/>
  <c r="W20" i="58"/>
  <c r="Z24" i="58"/>
  <c r="X24" i="58"/>
  <c r="Y24" i="58"/>
  <c r="P24" i="58"/>
  <c r="V24" i="58" l="1"/>
  <c r="W24" i="58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<sst xmlns="http://schemas.openxmlformats.org/spreadsheetml/2006/main" count="2970" uniqueCount="953">
  <si>
    <t>Sem escoramento</t>
  </si>
  <si>
    <t>H=</t>
  </si>
  <si>
    <t>Esc. Contínuo</t>
  </si>
  <si>
    <t>H&gt;</t>
  </si>
  <si>
    <t>PROJETO DE DRENAGEM DE ÁGUAS PLUVIÁIS</t>
  </si>
  <si>
    <t>RONDON DO PARÁ - BAIRRO  RECANTO AZUL</t>
  </si>
  <si>
    <t>DATA:</t>
  </si>
  <si>
    <t>Planilha de quantidades de serviços drenagem de águas pluviais</t>
  </si>
  <si>
    <t>TRECHO</t>
  </si>
  <si>
    <t>EXT</t>
  </si>
  <si>
    <t>DIÂMETRO</t>
  </si>
  <si>
    <t>C. TERRENO</t>
  </si>
  <si>
    <t>C. COLETOR</t>
  </si>
  <si>
    <t>L</t>
  </si>
  <si>
    <t>PROFUND.</t>
  </si>
  <si>
    <t>Vol. Esc</t>
  </si>
  <si>
    <t>Apiloam.</t>
  </si>
  <si>
    <t>BERÇO</t>
  </si>
  <si>
    <t>vol tubo</t>
  </si>
  <si>
    <t>Vol. R</t>
  </si>
  <si>
    <t>Bota fora</t>
  </si>
  <si>
    <t>ESCORAMENTO</t>
  </si>
  <si>
    <t>PVm</t>
  </si>
  <si>
    <t>PVj</t>
  </si>
  <si>
    <t>m</t>
  </si>
  <si>
    <t>INTERNO (m)</t>
  </si>
  <si>
    <t>EXTERNO (m)</t>
  </si>
  <si>
    <t>MONT.</t>
  </si>
  <si>
    <t>JUS.</t>
  </si>
  <si>
    <t>(m)</t>
  </si>
  <si>
    <r>
      <t>MÉDIA</t>
    </r>
    <r>
      <rPr>
        <sz val="7"/>
        <rFont val="Comic Sans MS"/>
        <family val="4"/>
      </rPr>
      <t xml:space="preserve"> </t>
    </r>
    <r>
      <rPr>
        <b/>
        <sz val="7"/>
        <rFont val="Comic Sans MS"/>
        <family val="4"/>
      </rPr>
      <t>(HM)</t>
    </r>
    <r>
      <rPr>
        <sz val="7"/>
        <rFont val="Comic Sans MS"/>
        <family val="4"/>
      </rPr>
      <t xml:space="preserve">  (m)</t>
    </r>
  </si>
  <si>
    <t>m3</t>
  </si>
  <si>
    <t>m²</t>
  </si>
  <si>
    <t>HB(m)</t>
  </si>
  <si>
    <t>Vol. B (m3)</t>
  </si>
  <si>
    <r>
      <t>MÉDIA</t>
    </r>
    <r>
      <rPr>
        <sz val="7"/>
        <rFont val="Comic Sans MS"/>
        <family val="4"/>
      </rPr>
      <t xml:space="preserve"> (m)</t>
    </r>
  </si>
  <si>
    <t>SEM  ESCORAM.           H &lt;1,30m</t>
  </si>
  <si>
    <t>DESCONTINUO     1,30m&lt; H &lt;2,60m</t>
  </si>
  <si>
    <t>CONTÍNUO               H &gt;2,60m</t>
  </si>
  <si>
    <t>4A</t>
  </si>
  <si>
    <t>LIGAÇÃO BL/PV</t>
  </si>
  <si>
    <t>TOTAL</t>
  </si>
  <si>
    <t>PAGO</t>
  </si>
  <si>
    <t>Planilha de quantidades de materiais de drenagem de águas pluviais</t>
  </si>
  <si>
    <t>BL</t>
  </si>
  <si>
    <t>EXTENSÃO POR DIÂMETRO</t>
  </si>
  <si>
    <t xml:space="preserve">PV POR DIÂMETRO </t>
  </si>
  <si>
    <t>ALAS POR DIÂMETRO</t>
  </si>
  <si>
    <t>un</t>
  </si>
  <si>
    <t>PV</t>
  </si>
  <si>
    <t>2x800</t>
  </si>
  <si>
    <t>2x1000</t>
  </si>
  <si>
    <t>2x1200</t>
  </si>
  <si>
    <t>TOTAL DE BL</t>
  </si>
  <si>
    <t>EXT. BL-PV (L=7,00M)</t>
  </si>
  <si>
    <t>ESTADO DO PARÁ</t>
  </si>
  <si>
    <t>PREFEITURA MUNICIPAL DE CANAÃ DOS CARAJÁS</t>
  </si>
  <si>
    <t>SECRETARIA MUNICIPAL DE OBRAS PÚBLICAS</t>
  </si>
  <si>
    <t xml:space="preserve">RESUMO </t>
  </si>
  <si>
    <r>
      <t>PROGRAMA:</t>
    </r>
    <r>
      <rPr>
        <sz val="8"/>
        <rFont val="Arial"/>
        <family val="2"/>
      </rPr>
      <t xml:space="preserve">  ASFALTO NA CIDADE</t>
    </r>
  </si>
  <si>
    <r>
      <t xml:space="preserve">AÇÃO:            </t>
    </r>
    <r>
      <rPr>
        <sz val="8"/>
        <rFont val="Arial"/>
        <family val="2"/>
      </rPr>
      <t>INFRA-ESTRUTURA URBANA</t>
    </r>
  </si>
  <si>
    <r>
      <rPr>
        <b/>
        <sz val="8"/>
        <rFont val="Arial"/>
        <family val="2"/>
      </rPr>
      <t>OBRA:</t>
    </r>
    <r>
      <rPr>
        <sz val="8"/>
        <rFont val="Arial"/>
        <family val="2"/>
      </rPr>
      <t xml:space="preserve">             PAVIMENTAÇÃO ASFÁLTICA NO MUNICÍPIO DE CANAÃ DOS CARAJÁS</t>
    </r>
  </si>
  <si>
    <r>
      <t xml:space="preserve">LOCAL:          </t>
    </r>
    <r>
      <rPr>
        <sz val="8"/>
        <rFont val="Arial"/>
        <family val="2"/>
      </rPr>
      <t>SEDE DO MUNICÍPIO DE CANAÃ DOS CARAJÁS</t>
    </r>
  </si>
  <si>
    <t>ÍTEM</t>
  </si>
  <si>
    <t>SERVIÇO</t>
  </si>
  <si>
    <t>SERVIÇOS PRELIMINARES</t>
  </si>
  <si>
    <t>1.1</t>
  </si>
  <si>
    <t xml:space="preserve">ADMINISTRAÇÃO LOCAL DA OBRA </t>
  </si>
  <si>
    <t>2.1</t>
  </si>
  <si>
    <t xml:space="preserve">Administração local da obra </t>
  </si>
  <si>
    <t>PAVIMENTAÇÃO ASFÁLTICA</t>
  </si>
  <si>
    <t>PAVIMENTAÇÃO E OBRAS VIÁRIAS</t>
  </si>
  <si>
    <t>DRENAGEM DE ÁGUAS PLUVIAIS</t>
  </si>
  <si>
    <t>3.1</t>
  </si>
  <si>
    <t>DRENAGEM</t>
  </si>
  <si>
    <t>OBJETO: CONTRATAÇÃO DE EMPRESA ESPECIALIZADA EM ENGENHARIA PARA EXECUÇÃO DE SERVIÇOS DE DRENAGEM, TERRAPLENAGEM E PAVIMENTAÇÃO ASFÁLTICA, LOCALIZADA NA AV. MAÇARANDUBA, RUA DEUSANIRA, AV. BRAGANÇA, RUA GRAVIOLA, RUA JAMBEIRO, RUA ÓBIDOS, RUA SÃO MIGUEL E RUA SEBERI  NA CIDADE DE TUCUMÃ NO ESTADO DO PARÁ</t>
  </si>
  <si>
    <t>PLANILHA ORÇAMENTÁRIA DESONERADA - BDI 29,77%</t>
  </si>
  <si>
    <t>Referencia:</t>
  </si>
  <si>
    <t xml:space="preserve">SINAPI JANEIRO DE 2024                                                  SICRO OUTUBRO DE 2023                                       </t>
  </si>
  <si>
    <t>ITEM</t>
  </si>
  <si>
    <t xml:space="preserve">FONTE </t>
  </si>
  <si>
    <t>CÓDIGO</t>
  </si>
  <si>
    <t>DESCRIÇÃO</t>
  </si>
  <si>
    <t>UNIDADE</t>
  </si>
  <si>
    <t>QUANTIDADE</t>
  </si>
  <si>
    <t>CUSTO UNITÁRIO (sem BDI) (R$)</t>
  </si>
  <si>
    <t>PREÇO UNITÁRIO (com BDI) (R$)</t>
  </si>
  <si>
    <t>PREÇO TOTAL   (R$)</t>
  </si>
  <si>
    <t xml:space="preserve">ADMINISTRAÇÃO LOCAL  </t>
  </si>
  <si>
    <t>PRÓPRIA</t>
  </si>
  <si>
    <t>CPU 001</t>
  </si>
  <si>
    <t>MÊS</t>
  </si>
  <si>
    <t>TOTAL DO ITEM 01</t>
  </si>
  <si>
    <t>CANTEIRO DE OBRAS</t>
  </si>
  <si>
    <t>2.1.1</t>
  </si>
  <si>
    <t>SINAPI</t>
  </si>
  <si>
    <t>FORNECIMENTO E INSTALAÇÃO DE PLACA DE OBRA COM CHAPA GALVANIZADA E ESTRUTURA DE MADEIRA. AF_03/2022_PS</t>
  </si>
  <si>
    <t>M2</t>
  </si>
  <si>
    <t>2.1.2</t>
  </si>
  <si>
    <t>002</t>
  </si>
  <si>
    <t>LOCAÇÃO DE CONTAINER PARA ESCRITÓRIO/VESTIÁRIO E ALMOXARIFADO</t>
  </si>
  <si>
    <t>2.2</t>
  </si>
  <si>
    <t>DEMOLIÇÕES</t>
  </si>
  <si>
    <t>2.2.1</t>
  </si>
  <si>
    <t>DEMOLIÇÃO DE PISO DE CONCRETO SIMPLES, DE FORMA MECANIZADA COM MARTELETE, SEM REAPROVEITAMENTO. AF_09/2023 (CALÇADAS)</t>
  </si>
  <si>
    <t>2.2.2</t>
  </si>
  <si>
    <t>DEMOLIÇÃO DE GUIAS, SARJETAS OU SARJETÕES, DE FORMA MECANIZADA, SEM REAPROVEITAMENTO. AF_09/2023</t>
  </si>
  <si>
    <t>M</t>
  </si>
  <si>
    <t>2.2.3</t>
  </si>
  <si>
    <t>DEMOLIÇÃO PARCIAL DE PAVIMENTO ASFÁLTICO, DE FORMA MECANIZADA, SEM REAPROVEITAMENTO. AF_12/2017</t>
  </si>
  <si>
    <t>2.2.4</t>
  </si>
  <si>
    <t>REMOÇÃO DE PISO DE BLOCO INTERTRAVADO OU DE PEDRA PORTUGUESA, DE FORMA MANUAL, COM REAPROVEITAMENTO. AF_09/2023</t>
  </si>
  <si>
    <t>2.2.5</t>
  </si>
  <si>
    <t>CARGA, MANOBRA E DESCARGA DE ENTULHO EM CAMINHÃO BASCULANTE 10 M³ - CARGA COM ESCAVADEIRA HIDRÁULICA  (CAÇAMBA DE 0,80 M³ / 111 HP) E DESCARGA LIVRE (UNIDADE: M3). AF_07/2020</t>
  </si>
  <si>
    <t>M3</t>
  </si>
  <si>
    <t>2.2.6</t>
  </si>
  <si>
    <t>TRANSPORTE COM CAMINHÃO BASCULANTE DE 10 M³, EM VIA URBANA PAVIMENTADA, DMT ATÉ 30 KM (UNIDADE: M3XKM). AF_07/2020</t>
  </si>
  <si>
    <t>M3XKM</t>
  </si>
  <si>
    <t>TOTAL DO ITEM 02</t>
  </si>
  <si>
    <t>MOBILIZAÇÃO E DESMOBILIZAÇÃO</t>
  </si>
  <si>
    <t>CPU 002</t>
  </si>
  <si>
    <t>MOBILIZAÇÃO E DESMOBILIZAÇÃO DA OBRA</t>
  </si>
  <si>
    <t>UND</t>
  </si>
  <si>
    <t>TOTAL DO ITEM 03</t>
  </si>
  <si>
    <t>DRENAGEM PROFUNDA</t>
  </si>
  <si>
    <t>4.1</t>
  </si>
  <si>
    <t>ESCAVAÇÃO MECANIZADA DE VALA COM PROF. DE 3,0 M ATÉ 4,5 M(MÉDIA ENTRE MONTANTE E JUSANTE/UMA COMPOSIÇÃO POR TRECHO), COM ESCAVADEIRA HIDRÁUL ICA (1,2 M3/155 HP), LARG. DE 1,5 M A 2,5 M, EM SOLO DE 1A CATEGORIA, EM LOCAIS COM ALTO NÍVEL DE INTERFERÊNCIA. (REDE PRINCIPAL)</t>
  </si>
  <si>
    <t>4.2</t>
  </si>
  <si>
    <t>ESCAVAÇÃO MECANIZADA DE VALA COM PROF. MAIOR QUE 1,5 M ATÉ 3,0 M (MÉDIA ENTRE MONTANTE E JUSANTE/UMA COMPOSIÇÃO POR TRECHO), COM ESCAVADEIRA HIDRÁULICA (0,8 M3/111 HP), LARGURA ATÉ 1,5 M, EM SOLO DE 1A CATEGORIA, EM LOCAIS COM ALTO NÍVEL DE INTERFERÊNCIA. (REDE COLETORA BL)</t>
  </si>
  <si>
    <t>4.3</t>
  </si>
  <si>
    <t>PREPARO DE FUNDO DE VALA COM LARGURA MAIOR OU IGUAL A 1,5 M E MENOR QU E 2,5 M (ACERTO DO SOLO NATURAL).</t>
  </si>
  <si>
    <t>4.4</t>
  </si>
  <si>
    <t>LASTRO COM MATERIAL GRANULAR (AREIA MÉDIA), APLICADO EM PISOS OU LAJES SOBRE SOLO, ESPESSURA DE *10 CM*. AF_07/2019</t>
  </si>
  <si>
    <t>4.5</t>
  </si>
  <si>
    <t>TUBO DE CONCRETO PARA REDES COLETORAS DE ÁGUAS PLUVIAIS, DIÂMETRO DE 1000 MM, JUNTA RÍGIDA, INSTALADO EM LOCAL COM ALTO NÍVEL DE INTERFERÊNCIAS - FORNECIMENTO E ASSENTAMENTO</t>
  </si>
  <si>
    <t>4.6</t>
  </si>
  <si>
    <t>TUBO DE CONCRETO PARA REDES COLETORAS DE ÁGUAS PLUVIAIS, DIÂMETRO DE 800 MM, JUNTA RÍGIDA, INSTALADO EM LOCAL COM ALTO NÍVEL DE INTERFERÊNCIAS - FORNECIMENTO E ASSENTAMENTO</t>
  </si>
  <si>
    <t>4.7</t>
  </si>
  <si>
    <t>TUBO DE CONCRETO PARA REDES COLETORAS DE ÁGUAS PLUVIAIS, DIÂMETRO DE 400 MM, JUNTA RÍGIDA, INSTALADO EM LOCAL COM ALTO NÍVEL DE INTERFERÊNCIAS - FORNECIMENTO E ASSENTAMENTO</t>
  </si>
  <si>
    <t>4.8</t>
  </si>
  <si>
    <t>TRANSPORTE COM CAMINHÃO CARROCERIA COM GUINDAUTO (MUNCK), MOMENTO MÁXIMO DE CARGA 11,7 TM, EM VIA URBANA EM LEITO NATURAL (UNIDADE: TXKM). AF_07/2020</t>
  </si>
  <si>
    <t>TXKM</t>
  </si>
  <si>
    <t>4.9</t>
  </si>
  <si>
    <t>REATERRO MECANIZADO DE VALA COM ESCAVADEIRA HIDRÁULICA (CAPACIDADE DA CAÇAMBA: 0,8 M³ / POTÊNCIA: 111 HP), LARGURA DE 1,5 A 2,5 M, PROFUNDIDADE DE 1,5 A 3,0 M, COM SOLO (SEM SUBSTITUIÇÃO) DE 1ª CATEGORIA EM LOCAIS COM BAIXO NÍVEL DE INTERFERÊNCIA. AF_04/2016</t>
  </si>
  <si>
    <t>4.10</t>
  </si>
  <si>
    <t>BASE PARA POÇO DE VISITA RETANGULAR PARA DRENAGEM, EM ALVENARIA COM BLOCOS DE CONCRETO, DIMENSÕES INTERNAS = 1X2,5 M, PROFUNDIDADE = 1,45 M, EXCLUINDO TAMPÃO. AF_12/2020</t>
  </si>
  <si>
    <t>4.11</t>
  </si>
  <si>
    <t>TAMPAO FOFO ARTICULADO, CLASSE D400 CARGA MAX 40 T, REDONDO, TAMPA 600 MM (COM INSCRICAO EM RELEVO DO TIPO DE REDE)</t>
  </si>
  <si>
    <t>4.12</t>
  </si>
  <si>
    <t>CAIXA PARA BOCA DE LOBO SIMPLES RETANGULAR, EM ALVENARIA COM TIJOLOS CERÂMICOS MACIÇOS, DIMENSÕES INTERNAS: 0,6X1X1,2 M. AF_12/2020</t>
  </si>
  <si>
    <t>4.13</t>
  </si>
  <si>
    <t>BOCA PARA BUEIRO SIMPLES TUBULAR D = 100 CM EM CONCRETO, ALAS COM ESCONSIDADE DE 0°, INCLUINDO FÔRMAS E MATERIAIS. AF_07/2021</t>
  </si>
  <si>
    <t>4.14</t>
  </si>
  <si>
    <t>SICRO</t>
  </si>
  <si>
    <t>Dissipador de energia - DEB 05 - areia e pedra de mão comerciais</t>
  </si>
  <si>
    <t>TOTAL DO ITEM 4</t>
  </si>
  <si>
    <t>TERRAPLENAGEM</t>
  </si>
  <si>
    <t>5.1</t>
  </si>
  <si>
    <t>SERVIÇOS TOPOGRAFICOS</t>
  </si>
  <si>
    <t>5.1.1</t>
  </si>
  <si>
    <t>LOCAÇÃO DE PAVIMENTAÇÃO. AF_10/2018</t>
  </si>
  <si>
    <t>TOTAL DO ITEM 5.1</t>
  </si>
  <si>
    <t>5.2</t>
  </si>
  <si>
    <t>REGULARIZAÇÃO DO SUB-LEITO</t>
  </si>
  <si>
    <t>5.2.1</t>
  </si>
  <si>
    <t>LIMPEZA MECANIZADA DE CAMADA VEGETAL, VEGETAÇÃO E PEQUENAS ÁRVORES (DIÂMETRO DE TRONCO MENOR QUE 0,20 M), COM TRATOR DE ESTEIRAS.AF_05/2018</t>
  </si>
  <si>
    <t>5.2.2</t>
  </si>
  <si>
    <t>ESCAVAÇÃO HORIZONTAL, INCLUINDO CARGA E DESCARGA EM SOLO DE 1A CATEGORIA COM TRATOR DE ESTEIRAS (170HP/LÂMINA: 5,20M3). AF_07/2020</t>
  </si>
  <si>
    <t>5.2.3</t>
  </si>
  <si>
    <t>5.2.4</t>
  </si>
  <si>
    <t>REGULARIZAÇÃO E COMPACTAÇÃO DE SUBLEITO DE SOLO  PREDOMINANTEMENTE ARGILOSO. AF_11/2019</t>
  </si>
  <si>
    <t>TOTAL DO ITEM 5.2</t>
  </si>
  <si>
    <t>5.3</t>
  </si>
  <si>
    <t>REGULARIZAÇÃO DA SUB-BASE</t>
  </si>
  <si>
    <t>5.3.1</t>
  </si>
  <si>
    <t>5.3.2</t>
  </si>
  <si>
    <t>5.3.3</t>
  </si>
  <si>
    <t>EXECUÇÃO E COMPACTAÇÃO DE BASE E OU SUB BASE PARA PAVIMENTAÇÃO DE SOLO ESTABILIZADO GRANULOMETRICAMENTE SEM MISTURA DE SOLOS - EXCLUSIVE SOLO, ESCAVAÇÃO, CARGA E TRANSPORTE. AF_11/2019</t>
  </si>
  <si>
    <t>TOTAL DO ITEM 5.3</t>
  </si>
  <si>
    <t>5.4</t>
  </si>
  <si>
    <t>REGULARIZAÇÃO DA BASE</t>
  </si>
  <si>
    <t>5.4.1</t>
  </si>
  <si>
    <t>5.4.2</t>
  </si>
  <si>
    <t>5.4.3</t>
  </si>
  <si>
    <t>TOTAL DO ITEM 5.4</t>
  </si>
  <si>
    <t>TOTAL DO ITEM 5</t>
  </si>
  <si>
    <t>PAVIMENTAÇÃO</t>
  </si>
  <si>
    <t>6.1</t>
  </si>
  <si>
    <t>08</t>
  </si>
  <si>
    <t>EXECUÇÃO DE IMPRIMAÇÃO DE BASE DE PAVIMENTAÇÃO</t>
  </si>
  <si>
    <t>6.2</t>
  </si>
  <si>
    <t>EXECUÇÃO DE PINTURA DE LIGAÇÃO COM EMULSÃO ASFÁLTICA RR-2C. AF_11/2019</t>
  </si>
  <si>
    <t>6.3</t>
  </si>
  <si>
    <t>TRANSPORTE COM CAMINHÃO BASCULANTE DE 14 M³, EM VIA URBANA PAVIMENTADA, DMT ATÉ 30 KM (UNIDADE: M3XKM). AF_07/2020</t>
  </si>
  <si>
    <t>6.4</t>
  </si>
  <si>
    <t>EXECUÇÃO DE PAVIMENTO COM APLICAÇÃO DE CONCRETO ASFÁLTICO, CAMADA DE ROLAMENTO - EXCLUSIVE CARGA E TRANSPORTE. AF_11/2019</t>
  </si>
  <si>
    <t>TOTAL DO ITEM 6</t>
  </si>
  <si>
    <t>SINALIZAÇÃO VIÁRIA</t>
  </si>
  <si>
    <t>7.1</t>
  </si>
  <si>
    <t>PINTURA DE EIXO VIÁRIO SOBRE ASFALTO COM TINTA RETRORREFLETIVA A BASE DE RESINA ACRÍLICA COM MICROESFERAS DE VIDRO, APLICAÇÃO MECÂNICA COM DEMARCADORA AUTOPROPELIDA. AF_05/2021</t>
  </si>
  <si>
    <t>7.2</t>
  </si>
  <si>
    <t>5213440</t>
  </si>
  <si>
    <t>Fornecimento e implantação de placa de regulamentação em aço D = 0,60 m - película retrorrefletiva tipo I e SI</t>
  </si>
  <si>
    <t>7.3</t>
  </si>
  <si>
    <t>5213858</t>
  </si>
  <si>
    <t>Fornecimento e implantação de suporte metálico galvanizado para placa de regulamentação - R1 - lado de 0,497 m</t>
  </si>
  <si>
    <t>TOTAL DO ITEM 7</t>
  </si>
  <si>
    <t>MEIO FIO, SARJETA E CALÇADA</t>
  </si>
  <si>
    <t>8.1</t>
  </si>
  <si>
    <t>GUIA (MEIO-FIO) E SARJETA CONJUGADOS DE CONCRETO, MOLDADA  IN LOCO  EM TRECHO RETO COM EXTRUSORA, 45 CM BASE (15 CM BASE DA GUIA + 30 CM BASE DA SARJETA) X 22 CM ALTURA. AF_06/2016</t>
  </si>
  <si>
    <t>8.2</t>
  </si>
  <si>
    <t>8.3</t>
  </si>
  <si>
    <t>8.4</t>
  </si>
  <si>
    <r>
      <t xml:space="preserve">PREPARO DE FUNDO DE VALA COM LARGURA MAIOR OU IGUAL A 1,5 M E MENOR QUE 2,5 M (ACERTO DO SOLO NATURAL). AF_08/2020 </t>
    </r>
    <r>
      <rPr>
        <b/>
        <sz val="10"/>
        <color indexed="8"/>
        <rFont val="Arial"/>
        <family val="2"/>
      </rPr>
      <t>(CALÇADA)</t>
    </r>
  </si>
  <si>
    <t>8.5</t>
  </si>
  <si>
    <t>EXECUÇÃO DE PASSEIO (CALÇADA) OU PISO DE CONCRETO COM CONCRETO MOLDADO IN LOCO, FEITO EM OBRA, ACABAMENTO CONVENCIONAL, ESPESSURA 8 CM, ARMADO. AF_08/2022</t>
  </si>
  <si>
    <t>8.6</t>
  </si>
  <si>
    <t>PINTURA DE MEIO-FIO COM TINTA BRANCA A BASE DE CAL (CAIAÇÃO). AF_05/2021</t>
  </si>
  <si>
    <t>TOTAL GERAL</t>
  </si>
  <si>
    <t>CLAUDIO RORIZ DE PAULA</t>
  </si>
  <si>
    <t>ENGENHEIRO CIVIL</t>
  </si>
  <si>
    <t>CREA 25.412 D-DF</t>
  </si>
  <si>
    <r>
      <t xml:space="preserve">BDI Padrão: </t>
    </r>
    <r>
      <rPr>
        <b/>
        <sz val="13"/>
        <color indexed="8"/>
        <rFont val="Calibri"/>
        <family val="2"/>
      </rPr>
      <t>29,770%</t>
    </r>
  </si>
  <si>
    <r>
      <rPr>
        <b/>
        <sz val="11"/>
        <color indexed="8"/>
        <rFont val="Calibri"/>
        <family val="2"/>
      </rPr>
      <t>Bancos:</t>
    </r>
    <r>
      <rPr>
        <sz val="11"/>
        <color indexed="8"/>
        <rFont val="Calibri"/>
        <family val="2"/>
      </rPr>
      <t xml:space="preserve">
SICRO3: PA 10/2023, SINAPI: PA 01/2024 (Preço desonerado)</t>
    </r>
  </si>
  <si>
    <t>Composições Analíticas com Preço unitário - Com Leis Sociais</t>
  </si>
  <si>
    <t>Composições Proprias</t>
  </si>
  <si>
    <t>Tipo</t>
  </si>
  <si>
    <t>Banco</t>
  </si>
  <si>
    <t>Código</t>
  </si>
  <si>
    <t>Descrição</t>
  </si>
  <si>
    <t>Classe/Tipo</t>
  </si>
  <si>
    <t>Unidade</t>
  </si>
  <si>
    <t>Quantidade</t>
  </si>
  <si>
    <t>Preço s/ BDI</t>
  </si>
  <si>
    <t>Total</t>
  </si>
  <si>
    <t xml:space="preserve">1.1 </t>
  </si>
  <si>
    <t>Composição</t>
  </si>
  <si>
    <t>Próprio</t>
  </si>
  <si>
    <t>ADMINISTRAÇÃO LOCAL DA OBRA</t>
  </si>
  <si>
    <t>SERVICOS DIVERSOS</t>
  </si>
  <si>
    <t xml:space="preserve"> </t>
  </si>
  <si>
    <t>Composição Auxiliar</t>
  </si>
  <si>
    <t>ENGENHEIRO CIVIL DE OBRA PLENO COM ENCARGOS COMPLEMENTARES</t>
  </si>
  <si>
    <t>SEDI - SERVICOS DIVERSOS</t>
  </si>
  <si>
    <t>H</t>
  </si>
  <si>
    <t>ENCARREGADO GERAL COM ENCARGOS COMPLEMENTARES</t>
  </si>
  <si>
    <t>VIGIA DIURNO COM ENCARGOS COMPLEMENTARES</t>
  </si>
  <si>
    <t>MO sem LS :</t>
  </si>
  <si>
    <t>LS :</t>
  </si>
  <si>
    <t>MO com LS :</t>
  </si>
  <si>
    <t>Valor do BDI :</t>
  </si>
  <si>
    <t>Valor com BDI :</t>
  </si>
  <si>
    <t xml:space="preserve">2.1.2 </t>
  </si>
  <si>
    <t>LOCAÇÃO DE CONTAINER PARA ESCRITÓRIO/VESTIÁRIOS E ALMOXARIFADO</t>
  </si>
  <si>
    <t>Insumo</t>
  </si>
  <si>
    <t xml:space="preserve">LOCACAO DE CONTAINER 2,30 X 6,00 M, ALT. 2,50 M, COM 1 SANITARIO, PARA ESCRITORIO, COMPLETO, SEM DIVISORIAS INTERNAS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</si>
  <si>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Equipamento</t>
  </si>
  <si>
    <t>MES</t>
  </si>
  <si>
    <t xml:space="preserve">LOCACAO DE CONTAINER 2,30 X 6,00 M, ALT. 2,50 M, PARA ESCRITORIO, SEM DIVISORIAS INTERNAS E SEM SANITARIO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</si>
  <si>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LOCACAO DE CONTAINER 2,30 X 4,30 M, ALT. 2,50 M, PARA SANITARIO, COM 3 BACIAS, 4 CHUVEIROS, 1 LAVATORIO E 1 MICTORIO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</si>
  <si>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003</t>
  </si>
  <si>
    <t>MOBILIZAQÇÃO E DESMOBILIZAÇÃO DA OBRA</t>
  </si>
  <si>
    <t>UN</t>
  </si>
  <si>
    <t>SICRO3</t>
  </si>
  <si>
    <t>E9665</t>
  </si>
  <si>
    <t>Cavalo mecânico com semi-reboque com capacidade de 22 t - 240 kW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</si>
  <si>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</si>
  <si>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CHOR - CUSTOS HORÁRIOS DE MÁQUINAS E EQUIPAMENTOS</t>
  </si>
  <si>
    <t>CHP</t>
  </si>
  <si>
    <t>CAMINHÃO BASCULANTE 6 M3, PESO BRUTO TOTAL 16.000 KG, CARGA ÚTIL MÁXIMA 13.071 KG, DISTÂNCIA ENTRE EIXOS 4,80 M, POTÊNCIA 230 CV INCLUSIVE CAÇAMBA METÁLICA - CHP DIURNO. AF_06/2014</t>
  </si>
  <si>
    <t>CAMINHÃO BASCULANTE 10 M3, TRUCADO CABINE SIMPLES, PESO BRUTO TOTAL 23.000 KG, CARGA ÚTIL MÁXIMA 15.935 KG, DISTÂNCIA ENTRE EIXOS 4,80 M, POTÊNCIA 230 CV INCLUSIVE CAÇAMBA METÁLICA - CHP DIURNO. AF_06/2014</t>
  </si>
  <si>
    <t>CAMINHÃO PIPA 10.000 L TRUCADO, PESO BRUTO TOTAL 23.000 KG, CARGA ÚTIL MÁXIMA 15.935 KG, DISTÂNCIA ENTRE EIXOS 4,8 M, POTÊNCIA 230 CV, INCLUSIVE TANQUE DE AÇO PARA TRANSPORTE DE ÁGUA - CHP DIURNO. AF_06/2014</t>
  </si>
  <si>
    <t>ESPARGIDOR DE ASFALTO PRESSURIZADO, TANQUE 6 M3 COM ISOLAÇÃO TÉRMICA, AQUECIDO COM 2 MAÇARICOS, COM BARRA ESPARGIDORA 3,60 M, MONTADO SOBRE CAMINHÃO  TOCO, PBT 14.300 KG, POTÊNCIA 185 CV - CHP DIURNO. AF_08/2015</t>
  </si>
  <si>
    <t xml:space="preserve">6.1 </t>
  </si>
  <si>
    <t>PAVIMENTACAO</t>
  </si>
  <si>
    <t>VASSOURA MECÂNICA REBOCÁVEL COM ESCOVA CILÍNDRICA, LARGURA ÚTIL DE VARRIMENTO DE 2,44 M - CHP DIURNO. AF_06/2014</t>
  </si>
  <si>
    <t>VASSOURA MECÂNICA REBOCÁVEL COM ESCOVA CILÍNDRICA, LARGURA ÚTIL DE VARRIMENTO DE 2,44 M - CHI DIURNO. AF_06/2014</t>
  </si>
  <si>
    <t>CHI</t>
  </si>
  <si>
    <t>SERVENTE COM ENCARGOS COMPLEMENTARES</t>
  </si>
  <si>
    <t>TRATOR DE PNEUS, POTÊNCIA 85 CV, TRAÇÃO 4X4, PESO COM LASTRO DE 4.675 KG - CHP DIURNO. AF_06/2014</t>
  </si>
  <si>
    <t>TRATOR DE PNEUS, POTÊNCIA 85 CV, TRAÇÃO 4X4, PESO COM LASTRO DE 4.675 KG - CHI DIURNO. AF_06/2014</t>
  </si>
  <si>
    <t>ESPARGIDOR DE ASFALTO PRESSURIZADO, TANQUE 6 M3 COM ISOLAÇÃO TÉRMICA, AQUECIDO COM 2 MAÇARICOS, COM BARRA ESPARGIDORA 3,60 M, MONTADO SOBRE CAMINHÃO  TOCO, PBT 14.300 KG, POTÊNCIA 185 CV - CHI DIURNO. AF_08/2015</t>
  </si>
  <si>
    <t>COTAÇÃO 0001</t>
  </si>
  <si>
    <t>EAI CM ECOIMPRIMA</t>
  </si>
  <si>
    <t>Material</t>
  </si>
  <si>
    <t>KG</t>
  </si>
  <si>
    <t xml:space="preserve">6.2 </t>
  </si>
  <si>
    <t>EMULSÃO ASFALTICA CATIONICA RR-2C PARA USO EM PAVIMENTAÇÃO ASFALTICA</t>
  </si>
  <si>
    <t>MEMÓRIA DE CALCULO - PAVIMENTAÇÃO ASFALTICA</t>
  </si>
  <si>
    <t>PROGRAMA:   FUNDO PARA O DESENVOLVIMENTO REGIONAL - FRD</t>
  </si>
  <si>
    <t>OBRA:  INFRA-ESTRUTURA URBANA - PAVIMENTAÇÃO ASFÁLTICA</t>
  </si>
  <si>
    <t>LOCAL: MUNICÍPIO DE RONDON DO PARÁ - BAIRRO RECANTO AZUL</t>
  </si>
  <si>
    <t>I - LEVANTAMENTO DOS SERVIÇOS A SEREM EXECUTADOS</t>
  </si>
  <si>
    <t>BAIRRO</t>
  </si>
  <si>
    <t>COMP</t>
  </si>
  <si>
    <t xml:space="preserve">LARGURA </t>
  </si>
  <si>
    <t xml:space="preserve">ÁREA </t>
  </si>
  <si>
    <t>ESPES</t>
  </si>
  <si>
    <t>VOLUME</t>
  </si>
  <si>
    <t>N°</t>
  </si>
  <si>
    <t>RUA / PERIMETO</t>
  </si>
  <si>
    <t>CARROÇAVEL</t>
  </si>
  <si>
    <t>(m²)</t>
  </si>
  <si>
    <t>PAV.(m³)</t>
  </si>
  <si>
    <t>BAIRRO RECANTO AZUL</t>
  </si>
  <si>
    <t>Rua 21 de Abril entre Rua Castelo Branco e Rua Antônio B. Cavalcante</t>
  </si>
  <si>
    <t>Rua João Marcelino entre Rua Marcolino Teixeira e Limite do Bairro Novo Horizonte</t>
  </si>
  <si>
    <t>Rua 13 de Maio entre Rua Castelo Branco e Limite do Bairro Novo Horizonte</t>
  </si>
  <si>
    <t>Rua 24 de Junho entre Rua Castelo Branco e Limite do Bairro Novo Horizonte</t>
  </si>
  <si>
    <t>Rua 7 de setembro entre Rua Castelo Branco e Limite do Bairro Novo Horizonte</t>
  </si>
  <si>
    <t>Rua Castelo Branco entre Rua 24 de Junho e Ponte existente</t>
  </si>
  <si>
    <t>Rua Sena entre Rua 21 de Abril e Rua 13 de Maio</t>
  </si>
  <si>
    <t>Rua Bahia entre Rua 21 de Abril e Rua 13 de Maio</t>
  </si>
  <si>
    <t>Rua 1º de Maio entre Rua 21 de Abril até a Captação 3 - Alto Recalque (SAAE)</t>
  </si>
  <si>
    <t>Rua Goias entre Rua 21 de Abril e Rua 13 de Maio</t>
  </si>
  <si>
    <t>Rua Marcolino Teixeira entre Rua 21 de Abril e Rua 13 de Maio</t>
  </si>
  <si>
    <t>1)</t>
  </si>
  <si>
    <t>PLACA DA OBRA: 2,00 m x 3,00 m</t>
  </si>
  <si>
    <t>LIMPEZA DE OBRA</t>
  </si>
  <si>
    <t>* LIMPEZA DO CAIXOTE  = LARGURA DE 6,56 m</t>
  </si>
  <si>
    <t>LOCAÇÃO PLANIMÉTRICA DE LINHA</t>
  </si>
  <si>
    <t>LOCAÇÃO DO EIXO =  ΣC</t>
  </si>
  <si>
    <t>LOC DO DA SEÇÃO TRANSVERSAL  =</t>
  </si>
  <si>
    <t>ΣC/20m x 7m</t>
  </si>
  <si>
    <t>2)</t>
  </si>
  <si>
    <t>MEIO FIO COM SARJETA = ΣC x 2 linhas</t>
  </si>
  <si>
    <t>CALHA DE PASAGEM D'AGUA =</t>
  </si>
  <si>
    <t>x 1 linha x 21 pontos</t>
  </si>
  <si>
    <t>obs: ΣC Somatória da coluna C</t>
  </si>
  <si>
    <t>3)</t>
  </si>
  <si>
    <t>CALÇADA DE PROTEÇÃO EM CONCRETO</t>
  </si>
  <si>
    <t>Largura</t>
  </si>
  <si>
    <t>ΣC x 2</t>
  </si>
  <si>
    <t>4)</t>
  </si>
  <si>
    <t>TERRAPLANAGEM</t>
  </si>
  <si>
    <t>ESCAV. CARGA E TRASP. DE MAT. DE 1ª CAT.</t>
  </si>
  <si>
    <t>m³</t>
  </si>
  <si>
    <t>Largura média das vias</t>
  </si>
  <si>
    <t xml:space="preserve">ΣC </t>
  </si>
  <si>
    <t>Profundidade</t>
  </si>
  <si>
    <t>Empolamento</t>
  </si>
  <si>
    <t>COMPACTAÇÃO E ATERRO S 100% DO P. N.</t>
  </si>
  <si>
    <t>ΣC</t>
  </si>
  <si>
    <t>SUB-BASE OU BASE ESTABIL. GLANULOMETRIC.</t>
  </si>
  <si>
    <t>5)</t>
  </si>
  <si>
    <t>VOLUME DE MASSA ASFÁLTICA - VMA</t>
  </si>
  <si>
    <t>t</t>
  </si>
  <si>
    <t>ΣG</t>
  </si>
  <si>
    <t>Peso especifico do asfálto (y)</t>
  </si>
  <si>
    <t>t/m³</t>
  </si>
  <si>
    <t>obs: ΣG Somatória da coluna G</t>
  </si>
  <si>
    <t xml:space="preserve"> IMPRIMAÇÃO</t>
  </si>
  <si>
    <t>Largura da Caixa</t>
  </si>
  <si>
    <t>PINTURA DE LIGAÇÃO</t>
  </si>
  <si>
    <t>6)</t>
  </si>
  <si>
    <t>SINALIZAÇÃO HORIZONTAL (Pintura de faixa - tinta base acrílica p/02 anos)</t>
  </si>
  <si>
    <t>CONTINA</t>
  </si>
  <si>
    <t>SECCIONADA</t>
  </si>
  <si>
    <t xml:space="preserve">COMPRIMENTO = 1/3 DE ΣC </t>
  </si>
  <si>
    <t>7)</t>
  </si>
  <si>
    <t>SINALIZAÇÃO VERTICAL ( Placa de sinalização semi-reflexiva )</t>
  </si>
  <si>
    <t>14 UN x 0,50 m x 0,50m =</t>
  </si>
  <si>
    <t>8)</t>
  </si>
  <si>
    <t>SINALIZAÇÃO VERTICAL - NOME DE RUA</t>
  </si>
  <si>
    <t>Placa esmaltada para identificação NR de rua, dimensãoes 45 x 25 cm</t>
  </si>
  <si>
    <t>LOCAL: MUNICÍPIO DE RONDON DO PARÁ</t>
  </si>
  <si>
    <t>BAIRRO GUSMÃO</t>
  </si>
  <si>
    <t>Rua Tom Jobim entre Avenida Marechal Rondon e Rua Raul Silva</t>
  </si>
  <si>
    <t>Rua Campo Grande entre Avenida Marechal Rondon e Rua Raul Silva</t>
  </si>
  <si>
    <t>Rua Amazonas entre Avenida Marechal Rondon e Rua São Paulo</t>
  </si>
  <si>
    <t>Rua Flamengo entre Rua Marechal Rondon e Rua Candelária</t>
  </si>
  <si>
    <t>Rua Petropolis entre Rua Francisco Bastos e Rua Flamengo</t>
  </si>
  <si>
    <t>Rua São Paulo entre Rua Francisco Bastos e Rua Flamengo</t>
  </si>
  <si>
    <t>Rua Candelaria entre Rua Flamengo e Rua Leblon</t>
  </si>
  <si>
    <t>Rua Cristo Redentor entre Rua Flamengo e Rua Leblon</t>
  </si>
  <si>
    <t>Rua Pão de açucar entre Rua Flamengo e Rua Leblon</t>
  </si>
  <si>
    <t>Rua Ipanema entre Rua Amazonas e Rua Flamengo</t>
  </si>
  <si>
    <t>BAIRRO BELA VISTA</t>
  </si>
  <si>
    <t>Rua Bela Vista entre Rua Nossa Senhora de Fátima e Rua Santo Antônio</t>
  </si>
  <si>
    <t xml:space="preserve">Rua Brasil entre Rua Nossa Senhora de Fátima e Rua Santo Antônio </t>
  </si>
  <si>
    <t>Rua Argentina entre Rua Nossa Senhora de Fátima e Rua São Francisco</t>
  </si>
  <si>
    <t xml:space="preserve">Rua Chile entre Rua Nossa Senhora de Fátima e Rua Santo Antônio </t>
  </si>
  <si>
    <t>Rua Cezar Brasil entre Rua Paraguai e Rua Uruguai</t>
  </si>
  <si>
    <t>Rua Santo Antônio entre Rua Brasil e Rua Chile</t>
  </si>
  <si>
    <t>Rua Goiaz entre Rua 21 de Abril e Rua 13 de Maio</t>
  </si>
  <si>
    <t xml:space="preserve"> - PLACA DA OBRA: 2,00 m x 3,00 m x 3 un</t>
  </si>
  <si>
    <t xml:space="preserve"> - LIMPEZA DE OBRA</t>
  </si>
  <si>
    <t xml:space="preserve"> - LOCAÇÃO PLANIMÉTRICA DE LINHA</t>
  </si>
  <si>
    <t>*LOCAÇÃO DO EIXO</t>
  </si>
  <si>
    <t>*LOC DO DA SEÇÃO TRANSVERSAL  =</t>
  </si>
  <si>
    <t>5.653,00 m /20,00m x 7,00m  =</t>
  </si>
  <si>
    <t xml:space="preserve"> - MEIO FIO COM SARJETA = 5.653,00 m  x 2 linhas</t>
  </si>
  <si>
    <t xml:space="preserve"> - CALHA DE PASSAGEM D'AGUA =15,00 m  x 1 linhas x 21 pontos</t>
  </si>
  <si>
    <t>CALÇADA DE PROTEÇÃO</t>
  </si>
  <si>
    <t xml:space="preserve"> - CALÇADA DE CONCRETO E=7 CM  = 5.653,00 m  x 2 linhas</t>
  </si>
  <si>
    <t xml:space="preserve"> - ESCAV. CARGA E TRASP. DE MAT. DE 1ª CAT. =5.653,00 m  x 7,00m x 0,15x 1,20</t>
  </si>
  <si>
    <t xml:space="preserve"> - COMPACTAÇÃO E ATERRO S 100% DO P. N. =5.653,00 m  x 7,00m x 0,15 x 1,20</t>
  </si>
  <si>
    <t xml:space="preserve"> - SUB-BASE OU BASE ESTABIL. GLANULOMETRIC.=5.653,00 m  x 7,00m x 0,15 x 1,20</t>
  </si>
  <si>
    <t xml:space="preserve"> - VOLUME DE MASSA ASF´LTICA - VMA</t>
  </si>
  <si>
    <r>
      <t>VMA=Volume de pavimentação x (</t>
    </r>
    <r>
      <rPr>
        <sz val="10"/>
        <rFont val="Calibri"/>
        <family val="2"/>
      </rPr>
      <t>Ƴ</t>
    </r>
    <r>
      <rPr>
        <sz val="10"/>
        <rFont val="Arial"/>
        <family val="2"/>
      </rPr>
      <t xml:space="preserve">=2,45 t/m³)  =  </t>
    </r>
  </si>
  <si>
    <t xml:space="preserve"> - IMPRIMAÇÃO</t>
  </si>
  <si>
    <t xml:space="preserve"> = 5.653,00m x 6,56 m =</t>
  </si>
  <si>
    <t xml:space="preserve"> - PINTURA DE LIGAÇÃO</t>
  </si>
  <si>
    <t>SINALIZAÇÃO HORIZONTAL</t>
  </si>
  <si>
    <t xml:space="preserve"> - CONTINUA = 5.653,00m x 0,10 m x  2 lados = </t>
  </si>
  <si>
    <t xml:space="preserve"> - SECCIONADA = 1/3 x 5.653,00m x 0,10 m =</t>
  </si>
  <si>
    <t>SINALIZAÇÃO VERTICAL</t>
  </si>
  <si>
    <t xml:space="preserve"> - 14 UN x 0,50 m x 0,50m =</t>
  </si>
  <si>
    <t>WALBER DE CASTRO RISUENHO</t>
  </si>
  <si>
    <t>ENGENHEIRO CIVIL CREA 8494-D/PA</t>
  </si>
  <si>
    <t>MEMÓRIA DE CALCULO DOS QUANTITATIVOS FÍSICO</t>
  </si>
  <si>
    <t>D=100</t>
  </si>
  <si>
    <t>D=60</t>
  </si>
  <si>
    <t>OBRA: DRENAGEM DE ÁGUAS PLUVIAIS NO MUNICÍPIO DE RONDON DO PARÁ</t>
  </si>
  <si>
    <t>A) ESCAVAÇÃO MECANIZADA DE VALA ATÉ 4,00 M</t>
  </si>
  <si>
    <t>B) ESCAVAÇÃO MANUAL DE VALAS PARA DRENAGEM</t>
  </si>
  <si>
    <t xml:space="preserve">I - CORPO DE BSTC Ø = 1,00 M </t>
  </si>
  <si>
    <t xml:space="preserve">QUANT = </t>
  </si>
  <si>
    <t xml:space="preserve">H = </t>
  </si>
  <si>
    <t>M        (x)</t>
  </si>
  <si>
    <t>L =</t>
  </si>
  <si>
    <t>C =</t>
  </si>
  <si>
    <t>M³</t>
  </si>
  <si>
    <t>(X) EMPOLA 20% =</t>
  </si>
  <si>
    <t xml:space="preserve">II - CORPO DE BSTC Ø = 0,60 M </t>
  </si>
  <si>
    <t xml:space="preserve">III - CORPO DE BSCC 1,50 x 1,50 M </t>
  </si>
  <si>
    <t xml:space="preserve"> =</t>
  </si>
  <si>
    <t>IV - CAIXA COLETORA TRANSVERSAL</t>
  </si>
  <si>
    <t>120 X 120</t>
  </si>
  <si>
    <t>VOLUME I =</t>
  </si>
  <si>
    <t>VOLUME II =</t>
  </si>
  <si>
    <t>ESCAVAÇÃO</t>
  </si>
  <si>
    <t>VOLUME III =</t>
  </si>
  <si>
    <t>MECANIZADA</t>
  </si>
  <si>
    <t>MANUAL</t>
  </si>
  <si>
    <t>VOLUME IV =</t>
  </si>
  <si>
    <t>TOTAL =</t>
  </si>
  <si>
    <t>C) COMPACTAÇÃO MANUAL DE VALA COM SOQUETE DE 8,00 KG</t>
  </si>
  <si>
    <t>D) REGULARIZAÇÃO DE FUNDO DE VALA</t>
  </si>
  <si>
    <t>COMPACTAÇÃO</t>
  </si>
  <si>
    <t>REGULARIZAÇÃO</t>
  </si>
  <si>
    <t>FUNDO DE VALA</t>
  </si>
  <si>
    <t>D) REATERRO COM COMPACTAÇÃO MECÂNICA</t>
  </si>
  <si>
    <t>E) REATERRO APILOADO EM CAMADAS DE 0,20 M</t>
  </si>
  <si>
    <t>ESC MEC =</t>
  </si>
  <si>
    <t>M³        (+)</t>
  </si>
  <si>
    <t xml:space="preserve">20% DA </t>
  </si>
  <si>
    <t>ESC MAN =</t>
  </si>
  <si>
    <t>COMPACTA</t>
  </si>
  <si>
    <t>VOL TUBO =</t>
  </si>
  <si>
    <t>M³        (-)</t>
  </si>
  <si>
    <t>MECÂNICA</t>
  </si>
  <si>
    <t>VOL BSCC =</t>
  </si>
  <si>
    <t>VOL CX COL =</t>
  </si>
  <si>
    <t>REATERRO C/</t>
  </si>
  <si>
    <t>REATERRO</t>
  </si>
  <si>
    <t xml:space="preserve">COMPACTAÇÃO </t>
  </si>
  <si>
    <t>APILOADO</t>
  </si>
  <si>
    <t>F) LIMPEZA FINAL</t>
  </si>
  <si>
    <t>M²</t>
  </si>
  <si>
    <t>ÁREA I =</t>
  </si>
  <si>
    <t>ÁREA II =</t>
  </si>
  <si>
    <t>LIMPEZA FINAL</t>
  </si>
  <si>
    <t>ÁREA III =</t>
  </si>
  <si>
    <t>ÁREA IV =</t>
  </si>
  <si>
    <t>OUTRAS PEÇAS:</t>
  </si>
  <si>
    <t>GUSMÃO</t>
  </si>
  <si>
    <t>R. AZUL</t>
  </si>
  <si>
    <t>B.VISTA</t>
  </si>
  <si>
    <t>SOMA</t>
  </si>
  <si>
    <t>POÇO DE VISITA</t>
  </si>
  <si>
    <t>CHAMINE DE POÇO DE VISITA</t>
  </si>
  <si>
    <t>BOCA DE LOBO</t>
  </si>
  <si>
    <t>ENGENHEIRO CIVIL CREA 8494D PA</t>
  </si>
  <si>
    <t>CRONOGRAMA FÍSICO - FINANCEIRO - DESONERADO</t>
  </si>
  <si>
    <t>%</t>
  </si>
  <si>
    <t>1º MÊS</t>
  </si>
  <si>
    <t>2º MÊS</t>
  </si>
  <si>
    <t>3º MÊS</t>
  </si>
  <si>
    <t>30 dias</t>
  </si>
  <si>
    <t>60 dias</t>
  </si>
  <si>
    <t>90 dias</t>
  </si>
  <si>
    <t>ADMINISTRAÇÃO LOCAL</t>
  </si>
  <si>
    <t>TOTAL DO MÊS</t>
  </si>
  <si>
    <t>PERCENTUAL SIMPLES (%)</t>
  </si>
  <si>
    <t>ACUMULADO NO MÊS (R$)</t>
  </si>
  <si>
    <t>PERCENTUAL ACUMULADO</t>
  </si>
  <si>
    <t>TAXA DE ENCARGOS SOCIAIS COM DESONERAÇÃO</t>
  </si>
  <si>
    <t xml:space="preserve">TAXA DE ENCARGOS SOCIAIS </t>
  </si>
  <si>
    <t>HORISTA</t>
  </si>
  <si>
    <t>MENSALISTA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</si>
  <si>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</si>
  <si>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</si>
  <si>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</si>
  <si>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</si>
  <si>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</si>
  <si>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</si>
  <si>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</si>
  <si>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</si>
  <si>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</si>
  <si>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</si>
  <si>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</si>
  <si>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</si>
  <si>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Salário-educação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</si>
  <si>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</si>
  <si>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</si>
  <si>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</si>
  <si>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</si>
  <si>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</si>
  <si>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</si>
  <si>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</si>
  <si>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 de Encargos Sociais Básicos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</si>
  <si>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</si>
  <si>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</si>
  <si>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</si>
  <si>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</si>
  <si>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</si>
  <si>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</si>
  <si>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</si>
  <si>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</si>
  <si>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</si>
  <si>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</si>
  <si>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</si>
  <si>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</si>
  <si>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</si>
  <si>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</si>
  <si>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</si>
  <si>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</si>
  <si>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</si>
  <si>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</si>
  <si>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</si>
  <si>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</si>
  <si>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</si>
  <si>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</si>
  <si>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Total de Encargos Sociais que recebem incidências de A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</si>
  <si>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</si>
  <si>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</si>
  <si>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</si>
  <si>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</si>
  <si>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</si>
  <si>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</si>
  <si>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</si>
  <si>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</si>
  <si>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</si>
  <si>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</si>
  <si>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</si>
  <si>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</si>
  <si>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Total dos Encargos Sociais que não recebem as
incidências globais de A</t>
  </si>
  <si>
    <t>GRUPO D</t>
  </si>
  <si>
    <t>D1</t>
  </si>
  <si>
    <t>Reincidência de A sobre B</t>
  </si>
  <si>
    <t>D2</t>
  </si>
  <si>
    <t>Reincidência de Grupo A sobre Aviso Prévio Trabalhado e
Reincidência do FGTS sobre Aviso Prévio Indenizado</t>
  </si>
  <si>
    <t>D</t>
  </si>
  <si>
    <t>Total das Taxas incidências e reincidências</t>
  </si>
  <si>
    <t>TOTAL DOS ENCARGOS SOCIAIS:</t>
  </si>
  <si>
    <t>COMPOSIÇÃO DO BDI</t>
  </si>
  <si>
    <t>BDI =</t>
  </si>
  <si>
    <t xml:space="preserve"> [(1 + AC + SG + R )(1+DF)(1+L)] -1</t>
  </si>
  <si>
    <t>(1-I)</t>
  </si>
  <si>
    <t xml:space="preserve">AC = Administração Central </t>
  </si>
  <si>
    <t>SG= Seguros + Garantia</t>
  </si>
  <si>
    <t>R= Riscos</t>
  </si>
  <si>
    <t>DF= Despesas Financeiras</t>
  </si>
  <si>
    <t>L= Lucro</t>
  </si>
  <si>
    <t xml:space="preserve">I= Impostos </t>
  </si>
  <si>
    <t>ISS</t>
  </si>
  <si>
    <t>PIS</t>
  </si>
  <si>
    <t>COFINS</t>
  </si>
  <si>
    <t>CPRF</t>
  </si>
  <si>
    <t xml:space="preserve"> (1 + 0,038+ 0,0032+ 0,005 )(1+0,01020)(1+0,0664)</t>
  </si>
  <si>
    <t>(1-0,1315)</t>
  </si>
  <si>
    <t>Obs. Adequado ao Acordão 2622/2013 do TCU</t>
  </si>
  <si>
    <t>MEMÓRIA DE CÁLCULO</t>
  </si>
  <si>
    <t>ETAPA II</t>
  </si>
  <si>
    <t>ETAPA III</t>
  </si>
  <si>
    <t>Item</t>
  </si>
  <si>
    <t>Especificação</t>
  </si>
  <si>
    <t>UNID</t>
  </si>
  <si>
    <t>QUANT</t>
  </si>
  <si>
    <t>1.0</t>
  </si>
  <si>
    <t>mês</t>
  </si>
  <si>
    <t>Administração local</t>
  </si>
  <si>
    <t>sub-total</t>
  </si>
  <si>
    <t>2.0</t>
  </si>
  <si>
    <t>Demolção de calçadas de concreto</t>
  </si>
  <si>
    <t>DEMOLIÇÃO MANUAL DE MEIO FIO DE CONCRETO considerado 10%</t>
  </si>
  <si>
    <t xml:space="preserve">REMOÇÃO MECANIZADA DE REVESTIMENTO ASFÁLTICO </t>
  </si>
  <si>
    <t>m2</t>
  </si>
  <si>
    <t>REMOÇÃO DE PISO INTERTRAVADO BLOCKET</t>
  </si>
  <si>
    <t>CARGA MECANIZADA</t>
  </si>
  <si>
    <t>MOMENTO DE TRANSPORTE</t>
  </si>
  <si>
    <t>m3*km</t>
  </si>
  <si>
    <t>3.0</t>
  </si>
  <si>
    <t>unid</t>
  </si>
  <si>
    <t>Mobilização</t>
  </si>
  <si>
    <t>Desmobilização</t>
  </si>
  <si>
    <t>Escavação mecanizada de vala  Tubulação principal</t>
  </si>
  <si>
    <t>DN 1000</t>
  </si>
  <si>
    <t>DN 800</t>
  </si>
  <si>
    <t>DN 600</t>
  </si>
  <si>
    <t>Escavação mecanizada de vala  Tubulação coletora</t>
  </si>
  <si>
    <t>DN 400</t>
  </si>
  <si>
    <t xml:space="preserve">Preparo do fundo Rede </t>
  </si>
  <si>
    <t>lastro com areia</t>
  </si>
  <si>
    <t>t*km</t>
  </si>
  <si>
    <t>Peso específico</t>
  </si>
  <si>
    <t>D.M.T</t>
  </si>
  <si>
    <t>DM 400</t>
  </si>
  <si>
    <t>área do tubo</t>
  </si>
  <si>
    <t>Reaterro  dn 1000</t>
  </si>
  <si>
    <t>Reaterro  dn 800</t>
  </si>
  <si>
    <t>Reaterro  dn 600</t>
  </si>
  <si>
    <t>Reaterro  dn 400</t>
  </si>
  <si>
    <t>Tampão Fofo DN 600mm</t>
  </si>
  <si>
    <t>Caixa boca de lobo dupla</t>
  </si>
  <si>
    <t>Boca BSTC dn 0,80m</t>
  </si>
  <si>
    <t>4.15</t>
  </si>
  <si>
    <t>BTSC 1,00M</t>
  </si>
  <si>
    <t>4.16</t>
  </si>
  <si>
    <t>Levantamento topográfico</t>
  </si>
  <si>
    <t>limpeza superficial da pista</t>
  </si>
  <si>
    <t>limpeza superficial da jazida</t>
  </si>
  <si>
    <t>Levantamento de corpo estradal (Corte não compensado)</t>
  </si>
  <si>
    <t>Levantamento de corpo estradal (Aterro não compensado)</t>
  </si>
  <si>
    <t>m³xkm</t>
  </si>
  <si>
    <t>Transporte de material para composição do corpo estradal</t>
  </si>
  <si>
    <t>Regularização e compactação do subleito</t>
  </si>
  <si>
    <t>Escavação em jazida para aterro de base e sub-base</t>
  </si>
  <si>
    <t>Estabilização de base e sub-base</t>
  </si>
  <si>
    <t>6.0</t>
  </si>
  <si>
    <t>imprimação conforme projeto</t>
  </si>
  <si>
    <t>Pintura de ligação conforme projeto</t>
  </si>
  <si>
    <t>pavimentação pista avenida conforme projeto considerando uma distância de 6km da usina</t>
  </si>
  <si>
    <t>pavimentação pista  conforme projeto</t>
  </si>
  <si>
    <t>7.0</t>
  </si>
  <si>
    <t>Pintura de faixa</t>
  </si>
  <si>
    <t>Fonecimento de placas de sinalização</t>
  </si>
  <si>
    <t>und</t>
  </si>
  <si>
    <t>Suporte de fixação placas</t>
  </si>
  <si>
    <t>8.0</t>
  </si>
  <si>
    <t>MEIO FIO, SARJETA</t>
  </si>
  <si>
    <t>Escavação mecânica de vala</t>
  </si>
  <si>
    <t>m³*KM</t>
  </si>
  <si>
    <t>TRANSPORTE COM CAMINHÃO BASCULANTE DE 14 M³, EM VIA URBANA EM LEITO NATURAL (UNIDADE: M3XKM). AF_07/2020</t>
  </si>
  <si>
    <t>Execução de calçada de concreto</t>
  </si>
  <si>
    <t xml:space="preserve">          [Substitua pela sua logo em: Administração -&gt; Empresa -&gt; Logo]</t>
  </si>
  <si>
    <t>Curva ABC de Insumos</t>
  </si>
  <si>
    <t>Seq.</t>
  </si>
  <si>
    <t>Total s/ BDI</t>
  </si>
  <si>
    <t>% Acumulada</t>
  </si>
  <si>
    <t>Classe</t>
  </si>
  <si>
    <t>Operativa</t>
  </si>
  <si>
    <t>Improdutiva</t>
  </si>
  <si>
    <t>Geral</t>
  </si>
  <si>
    <t>CONCRETO BETUMINOSO USINADO A QUENTE (CBUQ) PARA PAVIMENTACAO ASFALTICA, PADRAO DNIT, FAIXA C, COM CAP 50/70 - AQUISICAO POSTO USINA</t>
  </si>
  <si>
    <t>T</t>
  </si>
  <si>
    <t xml:space="preserve">OLEO DIESEL COMBUSTIVEL COMUM  </t>
  </si>
  <si>
    <t>TUBO DE CONCRETO ARMADO PARA AGUAS PLUVIAIS, CLASSE PA-1, COM ENCAIXE PONTA E BOLSA, DIAMETRO NOMINAL DE 800 MM</t>
  </si>
  <si>
    <t xml:space="preserve">CIMENTO PORTLAND COMPOSTO CP II-32  </t>
  </si>
  <si>
    <t xml:space="preserve">CAMINHAO TRUCADO, PESO BRUTO TOTAL 23000 KG, CARGA UTIL MAXIMA 15285 KG, DISTANCIA ENTRE EIXOS 4,80 M, POTENCIA 326 CV (INCLUI CABINE E CHASSI, NAO INCLUI CARROCERIA)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</si>
  <si>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CONCRETO USINADO BOMBEAVEL, CLASSE DE RESISTENCIA C20, COM BRITA 0 E 1, SLUMP = 100 +/- 20 MM, EXCLUI SERVICO DE BOMBEAMENTO (NBR 8953)</t>
  </si>
  <si>
    <t>TELA DE ACO SOLDADA NERVURADA, CA-60, Q-196, (3,11 KG/M2), DIAMETRO DO FIO = 5,0 MM, LARGURA = 2,45 M, ESPACAMENTO DA MALHA = 10 X 10 CM</t>
  </si>
  <si>
    <t>SERVENTE DE OBRAS</t>
  </si>
  <si>
    <t>Mão de Obra</t>
  </si>
  <si>
    <t>ALIMENTACAO - HORISTA (COLETADO CAIXA)</t>
  </si>
  <si>
    <t>ESCAVADEIRA HIDRAULICA SOBRE ESTEIRAS, CACAMBA 0,80M3, PESO OPERACIONAL 17T, POTENCIA BRUTA 111HP</t>
  </si>
  <si>
    <t xml:space="preserve">PEDREIRO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</si>
  <si>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AREIA MEDIA - POSTO JAZIDA/FORNECEDOR (RETIRADO NA JAZIDA, SEM TRANSPORTE)  </t>
  </si>
  <si>
    <t xml:space="preserve">PEDRA BRITADA N. 1 (9,5 a 19 MM) POSTO PEDREIRA/FORNECEDOR, SEM FRETE  </t>
  </si>
  <si>
    <t xml:space="preserve">ENGENHEIRO CIVIL DE OBRA PLENO  </t>
  </si>
  <si>
    <t>MOTORISTA DE CAMINHAO-BASCULANTE</t>
  </si>
  <si>
    <t>EXAMES - HORISTA (COLETADO CAIXA)</t>
  </si>
  <si>
    <t>MOTONIVELADORA POTENCIA BASICA LIQUIDA (PRIMEIRA MARCHA) 125 HP , PESO BRUTO 13843 KG, LARGURA DA LAMINA DE 3,7 M</t>
  </si>
  <si>
    <t>PA CARREGADEIRA SOBRE RODAS, POTENCIA LIQUIDA 128 HP, CAPACIDADE DA CACAMBA DE 1,7 A 2,8 M3, PESO OPERACIONAL MAXIMO DE 11632 KG</t>
  </si>
  <si>
    <t>ROLO COMPACTADOR DE PNEUS, ESTATICO, PRESSAO VARIAVEL, POTENCIA 110 HP, PESO SEM/COM LASTRO 10,8/27 T, LARGURA DE ROLAGEM 2,30 M</t>
  </si>
  <si>
    <t xml:space="preserve">CALCETEIRO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</si>
  <si>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TUBO DE CONCRETO ARMADO PARA AGUAS PLUVIAIS, CLASSE PA-1, COM ENCAIXE PONTA E BOLSA, DIAMETRO NOMINAL DE 1000 MM</t>
  </si>
  <si>
    <t>TRANSPORTE - HORISTA (COLETADO CAIXA)</t>
  </si>
  <si>
    <t>Serviço</t>
  </si>
  <si>
    <t>CACAMBA METALICA BASCULANTE COM CAPACIDADE DE 10 M3 (INCLUI MONTAGEM, NAO INCLUI CAMINHAO)</t>
  </si>
  <si>
    <t>ROLO COMPACTADOR PE DE CARNEIRO VIBRATORIO, POTENCIA 80 HP, PESO OPERACIONAL SEM/COM LASTRO 7,4/8,8 T, LARGURA DE TRABALHO 1,68 M</t>
  </si>
  <si>
    <t xml:space="preserve">OPERADOR DE ESCAVADEIRA  </t>
  </si>
  <si>
    <t>TUBO DE CONCRETO ARMADO PARA AGUAS PLUVIAIS, CLASSE PA-1, COM ENCAIXE PONTA E BOLSA, DIAMETRO NOMINAL DE 400 MM</t>
  </si>
  <si>
    <t>OPERADOR DE MAQUINAS E TRATORES DIVERSOS (TERRAPLANAGEM)</t>
  </si>
  <si>
    <t>ESCAVADEIRA HIDRAULICA SOBRE ESTEIRAS COM CACAMBA DE 1,20 M3, PESO OPERACIONAL 21 T, POTENCIA BRUTA 155 HP</t>
  </si>
  <si>
    <t xml:space="preserve">OPERADOR DE ROLO COMPACTADOR  </t>
  </si>
  <si>
    <t>TRATOR DE ESTEIRAS, POTENCIA DE 170 HP, PESO OPERACIONAL DE 19 T, COM LAMINA COM CAPACIDADE DE 5,2 M3</t>
  </si>
  <si>
    <t xml:space="preserve">EPI - FAMILIA SERVENTE - HORISTA (ENCARGOS COMPLEMENTARES - COLETADO CAIXA) </t>
  </si>
  <si>
    <t>MAQUINA DEMARCADORA DE FAIXA DE TRAFEGO A FRIO, AUTOPROPELIDA, MOTOR DIESEL 38 HP</t>
  </si>
  <si>
    <t>TIJOLO CERAMICO MACICO COMUM *5 X 10 X 20* CM (L X A X C)</t>
  </si>
  <si>
    <t>VIBROACABADORA DE ASFALTO SOBRE ESTEIRAS, LARG. PAVIMENT. 1,90 A 5,3 M, POT. 78 KW/105 HP, CAP. 450 T/H</t>
  </si>
  <si>
    <t xml:space="preserve">TAMPAO FOFO ARTICULADO, CLASSE D400 CARGA MAX 40 T, REDONDO, TAMPA 600 MM (COM INSCRICAO EM RELEVO DO TIPO DE REDE)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</si>
  <si>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OPERADOR DE BETONEIRA ESTACIONARIA / MISTURADOR</t>
  </si>
  <si>
    <t xml:space="preserve">VIGIA DIURNO  </t>
  </si>
  <si>
    <t xml:space="preserve">TRATOR DE PNEUS COM POTENCIA DE 85 CV, TRACAO 4 X 4, PESO COM LASTRO DE 4675 KG  </t>
  </si>
  <si>
    <t xml:space="preserve">MOTORISTA DE CAMINHAO  </t>
  </si>
  <si>
    <t xml:space="preserve">CARPINTEIRO DE FORMAS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</si>
  <si>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OPERADOR DE MOTONIVELADORA  </t>
  </si>
  <si>
    <t>BLOCO DE CONCRETO ESTRUTURAL 19 X 19 X 39 CM, FBK 4,5 MPA (NBR 6136)</t>
  </si>
  <si>
    <t xml:space="preserve">ENCARREGADO GERAL DE OBRAS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</si>
  <si>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EPI - FAMILIA OPERADOR ESCAVADEIRA - HORISTA (ENCARGOS COMPLEMENTARES - COLETADO CAIXA)</t>
  </si>
  <si>
    <t>ROLO COMPACTADOR VIBRATORIO TANDEM, ACO LISO, POTENCIA 125 HP, PESO SEM/COM LASTRO 10,20/11,65 T, LARGURA DE TRABALHO 1,73 M</t>
  </si>
  <si>
    <t>ASSENTADOR DE MANILHAS</t>
  </si>
  <si>
    <t>CONCRETO USINADO BOMBEAVEL, CLASSE DE RESISTENCIA C20, COM BRITA 0 E 1, SLUMP = 100 +/- 20 MM, INCLUI SERVICO DE BOMBEAMENTO (NBR 8953)</t>
  </si>
  <si>
    <t>FERRAMENTAS - FAMILIA SERVENTE - HORISTA (ENCARGOS COMPLEMENTARES - COLETADO CAIXA)</t>
  </si>
  <si>
    <t xml:space="preserve">EPI - FAMILIA PEDREIRO - HORISTA (ENCARGOS COMPLEMENTARES - COLETADO CAIXA) </t>
  </si>
  <si>
    <t>COMPRESSOR DE AR REBOCAVEL, VAZAO *89* PCM, PRESSAO EFETIVA DE TRABALHO *102* PSI, MOTOR DIESEL, POTENCIA *20* CV</t>
  </si>
  <si>
    <t xml:space="preserve">PINTOR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</si>
  <si>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ACO CA-60, 4,2 MM, OU 5,0 MM, OU 6,0 MM, OU 7,0 MM, VERGALHAO</t>
  </si>
  <si>
    <t xml:space="preserve">KG    </t>
  </si>
  <si>
    <t xml:space="preserve">OPERADOR DE PA CARREGADEIRA  </t>
  </si>
  <si>
    <t>PEDRA BRITADA N. 0, OU PEDRISCO (4,8 A 9,5 MM) POSTO PEDREIRA/FORNECEDOR, SEM FRETE</t>
  </si>
  <si>
    <t xml:space="preserve">AJUDANTE ESPECIALIZADO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</si>
  <si>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SARRAFO *2,5 X 10* CM EM PINUS, MISTA OU EQUIVALENTE DA REGIAO - BRUTA</t>
  </si>
  <si>
    <t xml:space="preserve">OPERADOR DE MARTELETE OU MARTELETEIRO  </t>
  </si>
  <si>
    <t xml:space="preserve">CAMINHAO TOCO, PESO BRUTO TOTAL 14300 KG, CARGA UTIL MAXIMA 9480 KG, DISTANCIA ENTRE EIXOS 4,80 M, POTENCIA 185 CV (INCLUI CABINE E CHASSI, NAO INCLUI CARROCERIA)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</si>
  <si>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FERRAMENTAS - FAMILIA PEDREIRO - HORISTA (ENCARGOS COMPLEMENTARES - COLETADO CAIXA)</t>
  </si>
  <si>
    <t xml:space="preserve">ACO CA-50, 6,3 MM, VERGALHAO  </t>
  </si>
  <si>
    <t>OPERADOR DE DEMARCADORA DE FAIXAS DE TRAFEGO HORISTA</t>
  </si>
  <si>
    <t xml:space="preserve">H     </t>
  </si>
  <si>
    <t xml:space="preserve">ARMADOR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</si>
  <si>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GASOLINA COMUM  </t>
  </si>
  <si>
    <t xml:space="preserve">TINTA ACRILICA A BASE DE SOLVENTE, PARA SINALIZACAO HORIZONTAL VIARIA (NBR 11862)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</si>
  <si>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TANQUE DE ACO CARBONO NAO REVESTIDO, PARA TRANSPORTE DE AGUA COM CAPACIDADE DE 10 M3, COM BOMBA CENTRIFUGA POR TOMADA DE FORCA, VAZAO MAXIMA *75* M3/H (INCLUI MONTAGEM, NAO INCLUI CAMINHAO)</t>
  </si>
  <si>
    <t>M0787</t>
  </si>
  <si>
    <t>Suporte em aço carbono galvanizado perfil "C"</t>
  </si>
  <si>
    <t>kg</t>
  </si>
  <si>
    <t>SARRAFO *2,5 X 7,5* CM EM PINUS, MISTA OU EQUIVALENTE DA REGIAO - BRUTA</t>
  </si>
  <si>
    <t xml:space="preserve">CAMINHAO TOCO, PESO BRUTO TOTAL 16000 KG, CARGA UTIL MAXIMA 11030 KG, DISTANCIA ENTRE EIXOS 5,41 M, POTENCIA 185 CV (INCLUI CABINE E CHASSI, NAO INCLUI CARROCERIA)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</si>
  <si>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TRATOR DE ESTEIRAS, POTENCIA DE 100 HP, PESO OPERACIONAL DE 9,4 T, COM LAMINA COM CAPACIDADE DE 2,19 M3</t>
  </si>
  <si>
    <t>MAQUINA EXTRUSORA DE CONCRETO PARA GUIAS E SARJETAS, COM MOTOR A DIESEL DE 14 CV</t>
  </si>
  <si>
    <t>M0424</t>
  </si>
  <si>
    <t>Cimento Portland CP II - 32</t>
  </si>
  <si>
    <t>CAVALO MECANICO TRACAO 4X2, PESO BRUTO TOTAL 16000 KG, CAPACIDADE MAXIMA DE TRACAO *36000* KG, DISTANCIA ENTRE EIXOS *3,56* M, POTENCIA *286* CV (INCLUI CABINE E CHASSI, NAO INCLUI SEMIRREBOQUE)</t>
  </si>
  <si>
    <t>CANALETA DE CONCRETO 19 X 19 X 19 CM (CLASSE C - NBR 6136)</t>
  </si>
  <si>
    <t>MICROESFERAS DE VIDRO PARA SINALIZACAO HORIZONTAL VIARIA, TIPO II-A (DROP-ON) - NBR  16184</t>
  </si>
  <si>
    <t>ESPARGIDOR DE ASFALTO PRESSURIZADO, TANQUE 6 M3 COM ISOLACAO TERMICA, AQUECIDO COM 2 MACARICOS, COM BARRA ESPARGIDORA 3,60 M, A SER MONTADO SOBRE CAMINHAO</t>
  </si>
  <si>
    <t>P9824</t>
  </si>
  <si>
    <t>Servente</t>
  </si>
  <si>
    <t>h</t>
  </si>
  <si>
    <t xml:space="preserve">ACO CA-50, 10,0 MM, VERGALHAO  </t>
  </si>
  <si>
    <t xml:space="preserve">CHAPA/PAINEL DE MADEIRA COMPENSADA RESINADA (MADEIRITE RESINADO ROSA) PARA FORMA DE CONCRETO, DE 2200 x 1100 MM, E = 17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</si>
  <si>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PREGO DE ACO POLIDO COM CABECA 17 X 21 (2 X 11)  </t>
  </si>
  <si>
    <t>OPERADOR DE PAVIMENTADORA / MESA VIBROACABADORA HORISTA</t>
  </si>
  <si>
    <t>VASSOURA MECANICA REBOCAVEL COM ESCOVA CILINDRICA LARGURA UTIL DE VARRIMENTO = 2,44M</t>
  </si>
  <si>
    <t>MEIO-FIO OU GUIA DE CONCRETO PRE-MOLDADO, TIPO CHAPEU PARA BOCA DE LOBO,  DIMENSOES *1,20* X 0,15 X 0,30 M</t>
  </si>
  <si>
    <t xml:space="preserve">UN    </t>
  </si>
  <si>
    <t xml:space="preserve">CAL HIDRATADA PARA PINTURA  </t>
  </si>
  <si>
    <t xml:space="preserve">MARTELO DEMOLIDOR PNEUMATICO MANUAL, PESO  DE 28 KG, COM SILENCIADOR </t>
  </si>
  <si>
    <t>M1097</t>
  </si>
  <si>
    <t>Pedra de mão</t>
  </si>
  <si>
    <t>PONTALETE *7,5 X 7,5* CM EM PINUS, MISTA OU EQUIVALENTE DA REGIAO - BRUTA</t>
  </si>
  <si>
    <t>M3229</t>
  </si>
  <si>
    <t>Película retrorrefletiva tipo I + SI</t>
  </si>
  <si>
    <t>SEGURO - HORISTA (COLETADO CAIXA)</t>
  </si>
  <si>
    <t>Taxa</t>
  </si>
  <si>
    <t>CAMINHAO TOCO, PESO BRUTO TOTAL 16000 KG, CARGA UTIL MAXIMA 10830 KG, DISTANCIA ENTRE EIXOS 3,56 M, POTENCIA 226 CV (INCLUI CABINE E CHASSI, NAO INCLUI CARROCERIA)</t>
  </si>
  <si>
    <t>ACO CA-50, 12,5 MM OU 16,0 MM, VERGALHAO</t>
  </si>
  <si>
    <t xml:space="preserve">PLACA DE OBRA (PARA CONSTRUCAO CIVIL) EM CHAPA GALVANIZADA *N. 22*, ADESIVADA, DE *2,4 X 1,2* M (SEM POSTES PARA FIXACAO)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</si>
  <si>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M0082</t>
  </si>
  <si>
    <t>Areia média lavada</t>
  </si>
  <si>
    <t>GRADE DE DISCOS MECANICA 20X24" COM 20 DISCOS 24" X 6MM  COM PNEUS PARA TRANSPORTE</t>
  </si>
  <si>
    <t xml:space="preserve">POLIESTIRENO EXPANDIDO/EPS (ISOPOR), TIPO 2F, BLOCO  </t>
  </si>
  <si>
    <t>MICROESFERAS DE VIDRO PARA SINALIZACAO HORIZONTAL VIARIA, TIPO I-B (PREMIX) - NBR  16184</t>
  </si>
  <si>
    <t>SEMIRREBOQUE COM DOIS EIXOS EM TANDEM TIPO BASCULANTE COM CACAMBA METALICA 14 M3  (INCLUI MONTAGEM, NAO INCLUI CAVALO MECANICO)</t>
  </si>
  <si>
    <t>EPI - FAMILIA CARPINTEIRO DE FORMAS - HORISTA (ENCARGOS COMPLEMENTARES - COLETADO CAIXA)</t>
  </si>
  <si>
    <t>MOTORISTA OPERADOR DE CAMINHAO COM MUNCK</t>
  </si>
  <si>
    <t>RETROESCAVADEIRA SOBRE RODAS COM CARREGADEIRA, TRACAO 4 X 4, POTENCIA LIQUIDA 88 HP, PESO OPERACIONAL MINIMO DE 6674 KG, CAPACIDADE DA CARREGADEIRA DE 1,00 M3 E DA  RETROESCAVADEIRA MINIMA DE 0,26 M3, PROFUNDIDADE DE ESCAVACAO MAXIMA DE 4,37 M</t>
  </si>
  <si>
    <t>P9808</t>
  </si>
  <si>
    <t>Carpinteiro</t>
  </si>
  <si>
    <t>COMPACTADOR DE SOLOS DE PERCURSAO (SOQUETE) COM MOTOR A GASOLINA 4 TEMPOS DE 4 HP (4 CV)</t>
  </si>
  <si>
    <t>ARAME RECOZIDO 16 BWG, D = 1,65 MM (0,016 KG/M) OU 18 BWG, D = 1,25 MM (0,01 KG/M)</t>
  </si>
  <si>
    <t>TABUA  NAO  APARELHADA  *2,5 X 20* CM, EM MACARANDUBA, ANGELIM OU EQUIVALENTE DA REGIAO - BRUTA</t>
  </si>
  <si>
    <t>GUINDAUTO HIDRAULICO, CAPACIDADE MAXIMA DE CARGA 6200 KG, MOMENTO MAXIMO DE CARGA 11,7 TM , ALCANCE MAXIMO HORIZONTAL  9,70 M, PARA MONTAGEM SOBRE CHASSI DE CAMINHAO PBT MINIMO 13000 KG (INCLUI MONTAGEM, NAO INCLUI CAMINHAO)</t>
  </si>
  <si>
    <t>P9801</t>
  </si>
  <si>
    <t>Ajudante</t>
  </si>
  <si>
    <t>M1429</t>
  </si>
  <si>
    <t>Tábua de pinho de terceira - E = 2,5 cm</t>
  </si>
  <si>
    <t>CHAPA/PAINEL DE MADEIRA COMPENSADA RESINADA (MADEIRITE RESINADO ROSA) PARA FORMA DE CONCRETO, DE 2200 X 1100 MM, E = 20 MM</t>
  </si>
  <si>
    <t xml:space="preserve">M2    </t>
  </si>
  <si>
    <t>FERRAMENTAS - FAMILIA PINTOR - HORISTA (ENCARGOS COMPLEMENTARES - COLETADO CAIXA)</t>
  </si>
  <si>
    <t xml:space="preserve">JARDINEIRO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</si>
  <si>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M0191</t>
  </si>
  <si>
    <t>Brita 1</t>
  </si>
  <si>
    <t>M0192</t>
  </si>
  <si>
    <t>Brita 2</t>
  </si>
  <si>
    <t xml:space="preserve">TOPOGRAFO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</si>
  <si>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AREIA GROSSA - POSTO JAZIDA/FORNECEDOR (RETIRADO NA JAZIDA, SEM TRANSPORTE)  </t>
  </si>
  <si>
    <t xml:space="preserve">EPI - FAMILIA PINTOR - HORISTA (ENCARGOS COMPLEMENTARES - COLETADO CAIXA) </t>
  </si>
  <si>
    <t xml:space="preserve">ENERGIA ELETRICA ATE 2000 KWH INDUSTRIAL, SEM DEMANDA  </t>
  </si>
  <si>
    <t xml:space="preserve">KWH   </t>
  </si>
  <si>
    <t>EPI - FAMILIA ENCARREGADO GERAL - HORISTA (ENCARGOS COMPLEMENTARES - COLETADO CAIXA)</t>
  </si>
  <si>
    <t>ESPACADOR / DISTANCIADOR CIRCULAR COM ENTRADA LATERAL, EM PLASTICO, PARA VERGALHAO *4,2 A 12,5* MM, COBRIMENTO 20 MM</t>
  </si>
  <si>
    <t>BETONEIRA CAPACIDADE NOMINAL 400 L, CAPACIDADE DE MISTURA  280 L, MOTOR ELETRICO TRIFASICO 220/380 V POTENCIA 2 CV, SEM CARREGADOR</t>
  </si>
  <si>
    <t xml:space="preserve">AJUDANTE DE ARMADOR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</si>
  <si>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TABUA *2,5 X 30 CM EM PINUS, MISTA OU EQUIVALENTE DA REGIAO - BRUTA</t>
  </si>
  <si>
    <t>M1367</t>
  </si>
  <si>
    <t>Chapa de aço galvanizado</t>
  </si>
  <si>
    <t>E9687</t>
  </si>
  <si>
    <t>Caminhão carroceria com capacidade de 5 t - 115 kW</t>
  </si>
  <si>
    <t xml:space="preserve">CARPINTEIRO DE ESQUADRIAS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</si>
  <si>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EPI - FAMILIA ENGENHEIRO CIVIL - HORISTA (ENCARGOS COMPLEMENTARES - COLETADO CAIXA)</t>
  </si>
  <si>
    <t>FERRAMENTAS - FAMILIA CARPINTEIRO DE FORMAS - HORISTA (ENCARGOS COMPLEMENTARES - COLETADO CAIXA)</t>
  </si>
  <si>
    <t>CORTADEIRA DE PISO DE CONCRETO E ASFALTO, PARA DISCO PADRAO DE DIAMETRO 350 MM (14") OU 450 MM (18") , MOTOR A GASOLINA, POTENCIA 13 HP, SEM DISCO</t>
  </si>
  <si>
    <t xml:space="preserve">DILUENTE AGUARRAS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</si>
  <si>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CARPINTEIRO AUXILIAR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</si>
  <si>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M0290</t>
  </si>
  <si>
    <t>Tábua de 2,5 x 10 cm</t>
  </si>
  <si>
    <t xml:space="preserve">CAL HIDRATADA CH-I PARA ARGAMASSAS  </t>
  </si>
  <si>
    <t xml:space="preserve">ACO CA-50, 8,0 MM, VERGALHAO  </t>
  </si>
  <si>
    <t>M0789</t>
  </si>
  <si>
    <t>Conjunto de cantoneiras e parafusos galvanizados para fixação de placas</t>
  </si>
  <si>
    <t>CACAMBA METALICA BASCULANTE COM CAPACIDADE DE 6 M3 (INCLUI MONTAGEM, NAO INCLUI CAMINHAO)</t>
  </si>
  <si>
    <t>P9830</t>
  </si>
  <si>
    <t>Montador</t>
  </si>
  <si>
    <t xml:space="preserve">AUXILIAR DE TOPOGRAFO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</si>
  <si>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BETONEIRA, CAPACIDADE NOMINAL 600 L, CAPACIDADE DE MISTURA  360L, MOTOR ELETRICO TRIFASICO 220/380V, POTENCIA 4CV, EXCLUSO CARREGADOR</t>
  </si>
  <si>
    <t>E9519</t>
  </si>
  <si>
    <t>Betoneira com motor a gasolina com capacidade de 600 l - 10 kW</t>
  </si>
  <si>
    <t>LOCACAO DE VIGA SANDUICHE METALICA VAZADA PARA TRAVAMENTO DE PILARES, ALTURA DE *8* CM, LARGURA DE *6* CM E EXTENSAO DE 2 M</t>
  </si>
  <si>
    <t>FERRAMENTAS - FAMILIA OPERADOR ESCAVADEIRA - HORISTA (ENCARGOS COMPLEMENTARES - COLETADO CAIXA)</t>
  </si>
  <si>
    <t>E9535</t>
  </si>
  <si>
    <t>Serra circular com bancada - D = 30 cm - 4 kW</t>
  </si>
  <si>
    <t>LOCACAO DE BARRA DE ANCORAGEM DE 0,80 A 1,20 M DE EXTENSAO, COM ROSCA DE 5/8", INCLUINDO PORCA E FLANGE</t>
  </si>
  <si>
    <t>E9592</t>
  </si>
  <si>
    <t>Caminhão carroceria com capacidade de 15 t - 188 kW</t>
  </si>
  <si>
    <t>M0030</t>
  </si>
  <si>
    <t>Aditivo plastificante e retardador tipo Plastiment ou similar</t>
  </si>
  <si>
    <t>E9066</t>
  </si>
  <si>
    <t>Grupo gerador - 13 / 14 kVA</t>
  </si>
  <si>
    <t>DESMOLDANTE PROTETOR PARA FORMAS DE MADEIRA, DE BASE OLEOSA EMULSIONADA EM AGUA</t>
  </si>
  <si>
    <t>LOCACAO DE APRUMADOR METALICO DE PILAR, COM ALTURA E ANGULO REGULAVEIS, EXTENSAO DE *1,50* A *2,80* M</t>
  </si>
  <si>
    <t xml:space="preserve">PREGO DE ACO POLIDO COM CABECA DUPLA 17 X 27 (2 1/2 X 11)  </t>
  </si>
  <si>
    <t>P9821</t>
  </si>
  <si>
    <t>Pedreiro</t>
  </si>
  <si>
    <t>E9579</t>
  </si>
  <si>
    <t>Caminhão basculante com capacidade de 10 m3 - 188 kW</t>
  </si>
  <si>
    <t>FERRAMENTAS - FAMILIA ENCARREGADO GERAL - HORISTA (ENCARGOS COMPLEMENTARES - COLETADO CAIXA)</t>
  </si>
  <si>
    <t>VIBRADOR DE IMERSAO, DIAMETRO DA PONTEIRA DE *45* MM, COM MOTOR ELETRICO TRIFASICO DE 2 HP (2 CV)</t>
  </si>
  <si>
    <t>LOCACAO DE TEODOLITO ELETRONICO, PRECISAO ANGULAR DE 5 A 7 SEGUNDOS, INCLUINDO TRIPE</t>
  </si>
  <si>
    <t xml:space="preserve">PREGO DE ACO POLIDO COM CABECA 15 X 15 (1 1/4 X 13)  </t>
  </si>
  <si>
    <t>ESPACADOR / DISTANCIADOR TIPO PINO EM PLASTICO, PARA VERGALHAO ATE 10 MM, PARA APOIO DE ARMADURA</t>
  </si>
  <si>
    <t xml:space="preserve">PREGO DE ACO POLIDO COM CABECA 17 X 27 (2 1/2 X 11)  </t>
  </si>
  <si>
    <t>FIBRA DE ACO PARA REFORCO DO CONCRETO, SOLTA, TIPO A-I, FATOR DE FORMA *50* L / D, COMPRIMENTO DE *30* MM E RESISTENCIA A TRACAO DO ACO MAIOR 1000 MPA</t>
  </si>
  <si>
    <t>M3153</t>
  </si>
  <si>
    <t>Tinta poliéster em pó</t>
  </si>
  <si>
    <t xml:space="preserve">EPI - FAMILIA TOPOGRAFO - HORISTA (ENCARGOS COMPLEMENTARES - COLETADO CAIXA) </t>
  </si>
  <si>
    <t>CARROCERIA FIXA ABERTA DE MADEIRA PARA TRANSPORTE GERAL DE CARGA SECA DIMENSOES APROXIMADAS 2,5 X 7,00 X 0,50 M (INCLUI MONTAGEM, NAO INCLUI CAMINHAO)</t>
  </si>
  <si>
    <t xml:space="preserve">IMUNIZANTE PARA MADEIRA, INCOLOR  </t>
  </si>
  <si>
    <t>P9823</t>
  </si>
  <si>
    <t>Serralheiro</t>
  </si>
  <si>
    <t>M1205</t>
  </si>
  <si>
    <t>Prego de ferro</t>
  </si>
  <si>
    <t>E9753</t>
  </si>
  <si>
    <t>Grupo gerador - 23 kVA</t>
  </si>
  <si>
    <t xml:space="preserve">PREGO DE ACO POLIDO COM CABECA 17 X 24 (2 1/4 X 11)  </t>
  </si>
  <si>
    <t>M0560</t>
  </si>
  <si>
    <t>Desmoldante para formas</t>
  </si>
  <si>
    <t>l</t>
  </si>
  <si>
    <t>CHAPA/PAINEL DE MADEIRA COMPENSADA RESINADA (MADEIRITE RESINADO ROSA) PARA FORMA DE CONCRETO, DE 2200 X 1100 MM, E = 6 MM</t>
  </si>
  <si>
    <t>COMPACTADOR DE SOLO TIPO PLACA VIBRATORIA REVERSIVEL, A GASOLINA, 4 TEMPOS, PESO DE 125 A 150 KG, FORCA CENTRIFUGA DE 2500 A 2800 KGF, LARG. TRABALHO DE 400 A 450 MM, FREQ VIBRACAO DE 4300 A 4500 RPM, VELOC. TRABALHO DE 15 A 20 M/MIN, POT. DE 5,5 A 6,0 HP</t>
  </si>
  <si>
    <t>E9064</t>
  </si>
  <si>
    <t>Transportador manual gerica com capacidade de 180 l</t>
  </si>
  <si>
    <t>DISCO DE CORTE DIAMANTADO SEGMENTADO PARA CONCRETO, DIAMETRO DE 350 MM, FURO DE 1 " (14 X 1 ")</t>
  </si>
  <si>
    <t>P9822</t>
  </si>
  <si>
    <t>Pintor</t>
  </si>
  <si>
    <t>E9071</t>
  </si>
  <si>
    <t>Transportador manual carrinho de mão com capacidade de 80 l</t>
  </si>
  <si>
    <t>E9076</t>
  </si>
  <si>
    <t>Equipamento de pintura com cabine de 7,00 kW e estufa de 80.000 kCal para pintura eletrostática</t>
  </si>
  <si>
    <t>E9622</t>
  </si>
  <si>
    <t>Máquina de bancada universal para corte de chapa - 1,5 kW</t>
  </si>
  <si>
    <t>FERRAMENTAS - FAMILIA ENGENHEIRO CIVIL - HORISTA (ENCARGOS COMPLEMENTARES - COLETADO CAIXA)</t>
  </si>
  <si>
    <t>E9010</t>
  </si>
  <si>
    <t>Balança plataforma digital com mesa de 75 x 75 cm com capacidade de 500 kg</t>
  </si>
  <si>
    <t>FERRAMENTAS - FAMILIA TOPOGRAFO - HORISTA (ENCARGOS COMPLEMENTARES - COLETADO CAIXA)</t>
  </si>
  <si>
    <t>E9623</t>
  </si>
  <si>
    <t>Máquina de bancada guilhotina - 4 kW</t>
  </si>
  <si>
    <t xml:space="preserve">PREGO DE ACO POLIDO COM CABECA 10 X 10 (7/8 X 17)  </t>
  </si>
  <si>
    <t>SERRA CIRCULAR DE BANCADA COM MOTOR ELETRICO, POTENCIA DE *1600* W, PARA DISCO DE DIAMETRO DE 10" (250 MM)</t>
  </si>
  <si>
    <t>E9686</t>
  </si>
  <si>
    <t>Caminhão carroceria com guindauto com capacidade de 20 t.m - 136 kW</t>
  </si>
  <si>
    <t>E9568</t>
  </si>
  <si>
    <t>Furadeira de impacto de 12,5 mm - 0,8 kW</t>
  </si>
  <si>
    <t>Total sem BDI</t>
  </si>
  <si>
    <t>Curva ABC de Composições (Serviços)</t>
  </si>
  <si>
    <t>Qtd.</t>
  </si>
  <si>
    <t>Preço</t>
  </si>
  <si>
    <t>PISOS</t>
  </si>
  <si>
    <t>TUBO DE CONCRETO PARA REDES COLETORAS DE ÁGUAS PLUVIAIS, DIÂMETRO DE 800 MM, JUNTA RÍGIDA, INSTALADO EM LOCAL COM ALTO NÍVEL DE INTERFERÊNCIAS - FORNECIMENTO E ASSENTAMENTO. AF_12/2015</t>
  </si>
  <si>
    <t>ASSENTAMENTO DE TUBOS E PECAS</t>
  </si>
  <si>
    <t>TRANPORTES, CARGAS E DESCARGAS</t>
  </si>
  <si>
    <t>DRENAGEM/OBRAS DE CONTENCAO/POCOS DE VISITA E CAIXAS</t>
  </si>
  <si>
    <t>MOVIMENTO DE TERRA</t>
  </si>
  <si>
    <t>BASE PARA POÇO DE VISITA RETANGULAR PARA DRENAGEM, EM ALVENARIA COM BLOCOS DE CONCRETO, DIMENSÕES INTERNAS = 1X2,5 M, PROFUNDIDADE = 1,40 M, EXCLUINDO TAMPÃO. AF_12/2020</t>
  </si>
  <si>
    <t>TUBO DE CONCRETO PARA REDES COLETORAS DE ÁGUAS PLUVIAIS, DIÂMETRO DE 1000 MM, JUNTA RÍGIDA, INSTALADO EM LOCAL COM ALTO NÍVEL DE INTERFERÊNCIAS - FORNECIMENTO E ASSENTAMENTO. AF_12/2015</t>
  </si>
  <si>
    <t>-</t>
  </si>
  <si>
    <t>ESCAVAÇÃO MECANIZADA DE VALA COM PROF. DE 3,0 M ATÉ 4,5 M(MÉDIA MONTANTE E JUSANTE/UMA COMPOSIÇÃO POR TRECHO), ESCAVADEIRA (1,2 M3), LARG. DE 1,5 M A 2,5 M, EM SOLO DE 1A CATEGORIA, EM LOCAIS COM ALTO NÍVEL DE INTERFERÊNCIA. AF_02/2021</t>
  </si>
  <si>
    <t>TUBO DE CONCRETO PARA REDES COLETORAS DE ÁGUAS PLUVIAIS, DIÂMETRO DE 400 MM, JUNTA RÍGIDA, INSTALADO EM LOCAL COM ALTO NÍVEL DE INTERFERÊNCIAS - FORNECIMENTO E ASSENTAMENTO. AF_12/2015</t>
  </si>
  <si>
    <t>PINTURAS</t>
  </si>
  <si>
    <t>SERVICOS PRELIMINARES</t>
  </si>
  <si>
    <t>FUNDACOES E ESTRUTURAS</t>
  </si>
  <si>
    <t>DEMOLIÇÃO DE PISO DE CONCRETO SIMPLES, DE FORMA MECANIZADA COM MARTELETE, SEM REAPROVEITAMENTO. AF_09/2023</t>
  </si>
  <si>
    <t>PREPARO DE FUNDO DE VALA COM LARGURA MAIOR OU IGUAL A 1,5 M E MENOR QUE 2,5 M (ACERTO DO SOLO NATURAL). AF_08/2020</t>
  </si>
  <si>
    <t>CLASSE SICRO3</t>
  </si>
  <si>
    <t>TRANSPORTE COM CAMINHÃO CARROCERIA COM GUINDAUTO (MUNCK),  MOMENTO MÁXIMO DE CARGA 11,7 TM, EM VIA URBANA EM LEITO NATURAL (UNIDADE: TXKM). AF_07/2020</t>
  </si>
  <si>
    <t>URBANIZACAO</t>
  </si>
  <si>
    <t>ESCAVAÇÃO MECANIZADA DE VALA COM PROF. MAIOR QUE 1,5 M ATÉ 3,0 M (MÉDIA MONTANTE E JUSANTE/UMA COMPOSIÇÃO POR TRECHO), ESCAVADEIRA (0,8 M3), LARGURA ATÉ 1,5 M, EM SOLO DE 1A CATEGORIA, EM LOCAIS COM ALTO NÍVEL DE INTERFERÊNCIA. AF_02/2021</t>
  </si>
  <si>
    <t>SERVICOS TECNICOS</t>
  </si>
  <si>
    <t>Total com BDI</t>
  </si>
  <si>
    <t>MAPA DE COTAÇÃO</t>
  </si>
  <si>
    <t>FORNEC. 1</t>
  </si>
  <si>
    <t>FORNEC. 3</t>
  </si>
  <si>
    <t>FORNECEDOR 1</t>
  </si>
  <si>
    <t>FORNECEDOR 2</t>
  </si>
  <si>
    <t>FORNECEDOR 3</t>
  </si>
  <si>
    <t>FORNECEDOR 4</t>
  </si>
  <si>
    <t>MÉDIA</t>
  </si>
  <si>
    <t>EMPRESA</t>
  </si>
  <si>
    <t>EMAN ASFALTO</t>
  </si>
  <si>
    <t>ASFALTOS NORDESTE</t>
  </si>
  <si>
    <t>CBA ASFALTO</t>
  </si>
  <si>
    <t>GRECA ASFALTO</t>
  </si>
  <si>
    <t>TELEFONE</t>
  </si>
  <si>
    <t>(31) 99708-2988</t>
  </si>
  <si>
    <t>(91)3269-0011</t>
  </si>
  <si>
    <t>(85) 3311-2844</t>
  </si>
  <si>
    <t>(85) 4011-8600</t>
  </si>
  <si>
    <t>DATA</t>
  </si>
  <si>
    <t>ENDEREÇO</t>
  </si>
  <si>
    <t>ACARÁ - PA</t>
  </si>
  <si>
    <t>ANANINDEUA PA</t>
  </si>
  <si>
    <t>MARACANAÚ / CEARÁ</t>
  </si>
  <si>
    <t>CONTATO</t>
  </si>
  <si>
    <t>DANIEL RIBEIRO</t>
  </si>
  <si>
    <t>JULIANA CAROLINE</t>
  </si>
  <si>
    <t>FRANCINY</t>
  </si>
  <si>
    <t>TATIANA</t>
  </si>
  <si>
    <t>PRODUTO</t>
  </si>
  <si>
    <t>PREÇO</t>
  </si>
  <si>
    <t>FRETE</t>
  </si>
  <si>
    <t>PREÇO FINAL</t>
  </si>
  <si>
    <t>Emulsão de Imprimação - EAI</t>
  </si>
  <si>
    <t>Cimento Asfaltico CAP 50/70</t>
  </si>
  <si>
    <t>Emulão asfáltica RR2C</t>
  </si>
  <si>
    <t>EMPOLAMENTO DE TRANSPORTE</t>
  </si>
  <si>
    <t>DISTÂNCIA MÉDIA DE TRANSPORTE - BOTA FORA</t>
  </si>
  <si>
    <t>DISTÂNCIA MÉDIA DE TRANSPORTE - JAZIDA</t>
  </si>
  <si>
    <t>CONSIDERADO 10% DE DEMOLIÇÃO E RETIRADA DE MEIO FIO</t>
  </si>
  <si>
    <t>CONSIDERADO 10% DE DEMOLIÇÃO E RETIRADA REVESTIMENTO ASFALTICO</t>
  </si>
  <si>
    <t>MASSA ESPECÍFICA DE SOLOS (SOLTA)</t>
  </si>
  <si>
    <t>DISTÂNCIA MÉDIA DA USINA DE ASFALTO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</si>
</sst>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.0000_);_(* \(#,##0.0000\);_(* &quot;-&quot;??_);_(@_)"/>
    <numFmt numFmtId="166" formatCode="_(* #,##0.0000_);_(* \(#,##0.0000\);_(* &quot;-&quot;????_);_(@_)"/>
    <numFmt numFmtId="167" formatCode="0.0"/>
    <numFmt numFmtId="168" formatCode="#,##0.00_ ;\-#,##0.00\ "/>
    <numFmt numFmtId="169" formatCode="0.000%"/>
    <numFmt numFmtId="170" formatCode="_(* #,##0.00000_);_(* \(#,##0.00000\);_(* &quot;-&quot;??_);_(@_)"/>
    <numFmt numFmtId="171" formatCode="&quot;R$ &quot;#,##0.00"/>
    <numFmt numFmtId="172" formatCode="#,"/>
    <numFmt numFmtId="173" formatCode="_([$€-2]* #,##0.00_);_([$€-2]* \(#,##0.00\);_([$€-2]* &quot;-&quot;??_)"/>
    <numFmt numFmtId="174" formatCode="#,#00"/>
    <numFmt numFmtId="175" formatCode="d&quot;.&quot;"/>
    <numFmt numFmtId="176" formatCode="_(&quot;R$&quot;* #,##0.00_);_(&quot;R$&quot;* \(#,##0.00\);_(&quot;R$&quot;* &quot;-&quot;??_);_(@_)"/>
    <numFmt numFmtId="177" formatCode="_(&quot;R$ &quot;* #,##0.00_);_(&quot;R$ &quot;* \(#,##0.00\);_(&quot;R$ &quot;* &quot;-&quot;??_);_(@_)"/>
    <numFmt numFmtId="178" formatCode="_(&quot;R$ &quot;* #,##0.00_);_(&quot;R$ &quot;* \(#,##0.00\);_(&quot;R$ &quot;* \-??_);_(@_)"/>
    <numFmt numFmtId="179" formatCode="%#,#00"/>
    <numFmt numFmtId="180" formatCode="#.##000"/>
    <numFmt numFmtId="181" formatCode="_(* #,##0.00_);_(* \(#,##0.00\);_(* \-??_);_(@_)"/>
    <numFmt numFmtId="182" formatCode="#,##0.00\ &quot;Km&quot;"/>
    <numFmt numFmtId="183" formatCode="#,##0.000\ &quot;t/m³&quot;"/>
    <numFmt numFmtId="184" formatCode="0.000"/>
  </numFmts>
  <fonts count="103">
    <font>
      <sz val="10"/>
      <name val="Arial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8"/>
      <name val="Arial"/>
      <family val="2"/>
    </font>
    <font>
      <b/>
      <sz val="10"/>
      <name val="Times New Roman"/>
      <family val="1"/>
    </font>
    <font>
      <b/>
      <sz val="14"/>
      <name val="Arial"/>
      <family val="2"/>
    </font>
    <font>
      <sz val="10"/>
      <name val="Calibri"/>
      <family val="2"/>
    </font>
    <font>
      <sz val="9"/>
      <name val="Arial"/>
      <family val="2"/>
    </font>
    <font>
      <sz val="12"/>
      <name val="Times New Roman"/>
      <family val="1"/>
    </font>
    <font>
      <b/>
      <sz val="9"/>
      <name val="Arial"/>
      <family val="2"/>
    </font>
    <font>
      <sz val="10"/>
      <color indexed="10"/>
      <name val="Arial"/>
      <family val="2"/>
    </font>
    <font>
      <b/>
      <sz val="10"/>
      <name val="Comic Sans MS"/>
      <family val="4"/>
    </font>
    <font>
      <sz val="10"/>
      <name val="Comic Sans MS"/>
      <family val="4"/>
    </font>
    <font>
      <sz val="10"/>
      <color indexed="10"/>
      <name val="Comic Sans MS"/>
      <family val="4"/>
    </font>
    <font>
      <sz val="8"/>
      <name val="Comic Sans MS"/>
      <family val="4"/>
    </font>
    <font>
      <sz val="8"/>
      <color indexed="10"/>
      <name val="Comic Sans MS"/>
      <family val="4"/>
    </font>
    <font>
      <sz val="8"/>
      <color indexed="10"/>
      <name val="Arial"/>
      <family val="2"/>
    </font>
    <font>
      <b/>
      <sz val="9"/>
      <name val="Comic Sans MS"/>
      <family val="4"/>
    </font>
    <font>
      <b/>
      <sz val="8"/>
      <name val="Comic Sans MS"/>
      <family val="4"/>
    </font>
    <font>
      <sz val="7"/>
      <name val="Comic Sans MS"/>
      <family val="4"/>
    </font>
    <font>
      <b/>
      <sz val="7"/>
      <name val="Comic Sans MS"/>
      <family val="4"/>
    </font>
    <font>
      <sz val="9"/>
      <name val="Comic Sans MS"/>
      <family val="4"/>
    </font>
    <font>
      <sz val="11"/>
      <name val="Arial"/>
      <family val="2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0"/>
      <color indexed="8"/>
      <name val="Tahoma"/>
      <family val="2"/>
    </font>
    <font>
      <sz val="11"/>
      <color indexed="8"/>
      <name val="Calibri"/>
      <family val="2"/>
    </font>
    <font>
      <sz val="11"/>
      <name val="Century Gothic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b/>
      <sz val="16"/>
      <name val="Arial"/>
      <family val="2"/>
    </font>
    <font>
      <sz val="11"/>
      <color indexed="60"/>
      <name val="Calibri"/>
      <family val="2"/>
    </font>
    <font>
      <sz val="12"/>
      <name val="Courier"/>
      <family val="3"/>
    </font>
    <font>
      <b/>
      <sz val="11"/>
      <color indexed="63"/>
      <name val="Calibri"/>
      <family val="2"/>
    </font>
    <font>
      <sz val="1"/>
      <color indexed="18"/>
      <name val="Courier"/>
      <family val="3"/>
    </font>
    <font>
      <vertAlign val="superscript"/>
      <sz val="9"/>
      <name val="Courier New"/>
      <family val="3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"/>
      <color indexed="16"/>
      <name val="Courier"/>
      <family val="3"/>
    </font>
    <font>
      <b/>
      <sz val="10"/>
      <color indexed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name val="Arial"/>
      <family val="1"/>
    </font>
    <font>
      <b/>
      <sz val="12"/>
      <name val="Arial"/>
      <family val="1"/>
    </font>
    <font>
      <b/>
      <sz val="10"/>
      <name val="Arial"/>
      <family val="1"/>
    </font>
    <font>
      <sz val="11"/>
      <name val="Arial"/>
      <family val="1"/>
    </font>
    <font>
      <sz val="8"/>
      <name val="Arial"/>
      <family val="2"/>
    </font>
    <font>
      <b/>
      <sz val="16"/>
      <name val="Arial"/>
      <family val="1"/>
    </font>
    <font>
      <b/>
      <sz val="10"/>
      <color indexed="8"/>
      <name val="Arial"/>
      <family val="2"/>
    </font>
    <font>
      <b/>
      <sz val="13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</font>
    <font>
      <sz val="11"/>
      <color rgb="FF00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1"/>
    </font>
    <font>
      <b/>
      <sz val="10"/>
      <color rgb="FF000000"/>
      <name val="Arial"/>
      <family val="2"/>
    </font>
    <font>
      <b/>
      <sz val="10"/>
      <color rgb="FF000000"/>
      <name val="Arial"/>
      <family val="1"/>
    </font>
    <font>
      <b/>
      <sz val="11"/>
      <color rgb="FF000000"/>
      <name val="Arial"/>
      <family val="2"/>
    </font>
    <font>
      <sz val="8"/>
      <color theme="0"/>
      <name val="Arial"/>
      <family val="2"/>
    </font>
    <font>
      <sz val="13"/>
      <color rgb="FF000000"/>
      <name val="Calibri"/>
      <family val="2"/>
    </font>
    <font>
      <b/>
      <sz val="20"/>
      <color rgb="FF000000"/>
      <name val="Calibri"/>
      <family val="2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</font>
    <font>
      <b/>
      <sz val="12"/>
      <color rgb="FF000000"/>
      <name val="Calibri"/>
    </font>
    <font>
      <sz val="12"/>
      <color rgb="FF000000"/>
      <name val="Calibri"/>
      <family val="2"/>
    </font>
  </fonts>
  <fills count="8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rgb="FF9EFDFF"/>
        <bgColor rgb="FF000000"/>
      </patternFill>
    </fill>
    <fill>
      <patternFill patternType="solid">
        <fgColor rgb="FFFEFF99"/>
        <bgColor rgb="FF000000"/>
      </patternFill>
    </fill>
    <fill>
      <patternFill patternType="solid">
        <fgColor rgb="FF00FF99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E3E3E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indexed="64"/>
      </patternFill>
    </fill>
  </fills>
  <borders count="9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6">
    <xf numFmtId="0" fontId="0" fillId="0" borderId="0"/>
    <xf numFmtId="0" fontId="11" fillId="0" borderId="0"/>
    <xf numFmtId="0" fontId="30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30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0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30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0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30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30" fillId="2" borderId="0" applyNumberFormat="0" applyBorder="0" applyAlignment="0" applyProtection="0"/>
    <xf numFmtId="0" fontId="69" fillId="28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30" fillId="3" borderId="0" applyNumberFormat="0" applyBorder="0" applyAlignment="0" applyProtection="0"/>
    <xf numFmtId="0" fontId="69" fillId="29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0" fillId="4" borderId="0" applyNumberFormat="0" applyBorder="0" applyAlignment="0" applyProtection="0"/>
    <xf numFmtId="0" fontId="69" fillId="30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30" fillId="5" borderId="0" applyNumberFormat="0" applyBorder="0" applyAlignment="0" applyProtection="0"/>
    <xf numFmtId="0" fontId="69" fillId="31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0" fillId="6" borderId="0" applyNumberFormat="0" applyBorder="0" applyAlignment="0" applyProtection="0"/>
    <xf numFmtId="0" fontId="69" fillId="3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30" fillId="7" borderId="0" applyNumberFormat="0" applyBorder="0" applyAlignment="0" applyProtection="0"/>
    <xf numFmtId="0" fontId="69" fillId="33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4" fontId="31" fillId="0" borderId="1" applyNumberFormat="0" applyBorder="0" applyAlignment="0"/>
    <xf numFmtId="0" fontId="30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0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30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0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0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0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0" fillId="8" borderId="0" applyNumberFormat="0" applyBorder="0" applyAlignment="0" applyProtection="0"/>
    <xf numFmtId="0" fontId="69" fillId="34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0" fillId="9" borderId="0" applyNumberFormat="0" applyBorder="0" applyAlignment="0" applyProtection="0"/>
    <xf numFmtId="0" fontId="69" fillId="35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30" fillId="11" borderId="0" applyNumberFormat="0" applyBorder="0" applyAlignment="0" applyProtection="0"/>
    <xf numFmtId="0" fontId="69" fillId="36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0" fillId="5" borderId="0" applyNumberFormat="0" applyBorder="0" applyAlignment="0" applyProtection="0"/>
    <xf numFmtId="0" fontId="69" fillId="37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0" fillId="8" borderId="0" applyNumberFormat="0" applyBorder="0" applyAlignment="0" applyProtection="0"/>
    <xf numFmtId="0" fontId="69" fillId="3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0" fillId="12" borderId="0" applyNumberFormat="0" applyBorder="0" applyAlignment="0" applyProtection="0"/>
    <xf numFmtId="0" fontId="69" fillId="39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2" fillId="14" borderId="0" applyNumberFormat="0" applyBorder="0" applyAlignment="0" applyProtection="0"/>
    <xf numFmtId="0" fontId="32" fillId="9" borderId="0" applyNumberFormat="0" applyBorder="0" applyAlignment="0" applyProtection="0"/>
    <xf numFmtId="0" fontId="32" fillId="11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4" borderId="0" applyNumberFormat="0" applyBorder="0" applyAlignment="0" applyProtection="0"/>
    <xf numFmtId="0" fontId="70" fillId="40" borderId="0" applyNumberFormat="0" applyBorder="0" applyAlignment="0" applyProtection="0"/>
    <xf numFmtId="0" fontId="32" fillId="9" borderId="0" applyNumberFormat="0" applyBorder="0" applyAlignment="0" applyProtection="0"/>
    <xf numFmtId="0" fontId="70" fillId="41" borderId="0" applyNumberFormat="0" applyBorder="0" applyAlignment="0" applyProtection="0"/>
    <xf numFmtId="0" fontId="32" fillId="11" borderId="0" applyNumberFormat="0" applyBorder="0" applyAlignment="0" applyProtection="0"/>
    <xf numFmtId="0" fontId="70" fillId="42" borderId="0" applyNumberFormat="0" applyBorder="0" applyAlignment="0" applyProtection="0"/>
    <xf numFmtId="0" fontId="32" fillId="15" borderId="0" applyNumberFormat="0" applyBorder="0" applyAlignment="0" applyProtection="0"/>
    <xf numFmtId="0" fontId="70" fillId="43" borderId="0" applyNumberFormat="0" applyBorder="0" applyAlignment="0" applyProtection="0"/>
    <xf numFmtId="0" fontId="32" fillId="16" borderId="0" applyNumberFormat="0" applyBorder="0" applyAlignment="0" applyProtection="0"/>
    <xf numFmtId="0" fontId="70" fillId="44" borderId="0" applyNumberFormat="0" applyBorder="0" applyAlignment="0" applyProtection="0"/>
    <xf numFmtId="0" fontId="32" fillId="17" borderId="0" applyNumberFormat="0" applyBorder="0" applyAlignment="0" applyProtection="0"/>
    <xf numFmtId="0" fontId="70" fillId="45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8" borderId="0" applyNumberFormat="0" applyBorder="0" applyAlignment="0" applyProtection="0"/>
    <xf numFmtId="0" fontId="33" fillId="3" borderId="0" applyNumberFormat="0" applyBorder="0" applyAlignment="0" applyProtection="0"/>
    <xf numFmtId="0" fontId="34" fillId="4" borderId="0" applyNumberFormat="0" applyBorder="0" applyAlignment="0" applyProtection="0"/>
    <xf numFmtId="0" fontId="71" fillId="46" borderId="0" applyNumberFormat="0" applyBorder="0" applyAlignment="0" applyProtection="0"/>
    <xf numFmtId="0" fontId="35" fillId="22" borderId="2" applyNumberFormat="0" applyAlignment="0" applyProtection="0"/>
    <xf numFmtId="0" fontId="35" fillId="22" borderId="2" applyNumberFormat="0" applyAlignment="0" applyProtection="0"/>
    <xf numFmtId="0" fontId="72" fillId="47" borderId="76" applyNumberFormat="0" applyAlignment="0" applyProtection="0"/>
    <xf numFmtId="0" fontId="36" fillId="23" borderId="3" applyNumberFormat="0" applyAlignment="0" applyProtection="0"/>
    <xf numFmtId="0" fontId="73" fillId="48" borderId="77" applyNumberFormat="0" applyAlignment="0" applyProtection="0"/>
    <xf numFmtId="0" fontId="37" fillId="0" borderId="4" applyNumberFormat="0" applyFill="0" applyAlignment="0" applyProtection="0"/>
    <xf numFmtId="0" fontId="74" fillId="0" borderId="78" applyNumberFormat="0" applyFill="0" applyAlignment="0" applyProtection="0"/>
    <xf numFmtId="172" fontId="38" fillId="0" borderId="0">
      <protection locked="0"/>
    </xf>
    <xf numFmtId="172" fontId="38" fillId="0" borderId="0">
      <protection locked="0"/>
    </xf>
    <xf numFmtId="0" fontId="39" fillId="0" borderId="0">
      <protection locked="0"/>
    </xf>
    <xf numFmtId="172" fontId="38" fillId="0" borderId="0">
      <protection locked="0"/>
    </xf>
    <xf numFmtId="0" fontId="32" fillId="19" borderId="0" applyNumberFormat="0" applyBorder="0" applyAlignment="0" applyProtection="0"/>
    <xf numFmtId="0" fontId="70" fillId="49" borderId="0" applyNumberFormat="0" applyBorder="0" applyAlignment="0" applyProtection="0"/>
    <xf numFmtId="0" fontId="32" fillId="20" borderId="0" applyNumberFormat="0" applyBorder="0" applyAlignment="0" applyProtection="0"/>
    <xf numFmtId="0" fontId="70" fillId="50" borderId="0" applyNumberFormat="0" applyBorder="0" applyAlignment="0" applyProtection="0"/>
    <xf numFmtId="0" fontId="32" fillId="21" borderId="0" applyNumberFormat="0" applyBorder="0" applyAlignment="0" applyProtection="0"/>
    <xf numFmtId="0" fontId="70" fillId="51" borderId="0" applyNumberFormat="0" applyBorder="0" applyAlignment="0" applyProtection="0"/>
    <xf numFmtId="0" fontId="32" fillId="15" borderId="0" applyNumberFormat="0" applyBorder="0" applyAlignment="0" applyProtection="0"/>
    <xf numFmtId="0" fontId="70" fillId="52" borderId="0" applyNumberFormat="0" applyBorder="0" applyAlignment="0" applyProtection="0"/>
    <xf numFmtId="0" fontId="32" fillId="16" borderId="0" applyNumberFormat="0" applyBorder="0" applyAlignment="0" applyProtection="0"/>
    <xf numFmtId="0" fontId="70" fillId="53" borderId="0" applyNumberFormat="0" applyBorder="0" applyAlignment="0" applyProtection="0"/>
    <xf numFmtId="0" fontId="32" fillId="18" borderId="0" applyNumberFormat="0" applyBorder="0" applyAlignment="0" applyProtection="0"/>
    <xf numFmtId="0" fontId="70" fillId="54" borderId="0" applyNumberFormat="0" applyBorder="0" applyAlignment="0" applyProtection="0"/>
    <xf numFmtId="0" fontId="40" fillId="7" borderId="2" applyNumberFormat="0" applyAlignment="0" applyProtection="0"/>
    <xf numFmtId="0" fontId="75" fillId="55" borderId="76" applyNumberFormat="0" applyAlignment="0" applyProtection="0"/>
    <xf numFmtId="173" fontId="3" fillId="0" borderId="0" applyFont="0" applyFill="0" applyBorder="0" applyAlignment="0" applyProtection="0"/>
    <xf numFmtId="0" fontId="3" fillId="0" borderId="0"/>
    <xf numFmtId="0" fontId="41" fillId="0" borderId="0" applyNumberFormat="0" applyFill="0" applyBorder="0" applyAlignment="0" applyProtection="0"/>
    <xf numFmtId="172" fontId="38" fillId="0" borderId="0">
      <protection locked="0"/>
    </xf>
    <xf numFmtId="174" fontId="39" fillId="0" borderId="0">
      <protection locked="0"/>
    </xf>
    <xf numFmtId="0" fontId="42" fillId="0" borderId="5" applyNumberFormat="0" applyFill="0" applyAlignment="0" applyProtection="0"/>
    <xf numFmtId="172" fontId="57" fillId="0" borderId="0">
      <protection locked="0"/>
    </xf>
    <xf numFmtId="0" fontId="43" fillId="0" borderId="6" applyNumberFormat="0" applyFill="0" applyAlignment="0" applyProtection="0"/>
    <xf numFmtId="172" fontId="57" fillId="0" borderId="0">
      <protection locked="0"/>
    </xf>
    <xf numFmtId="0" fontId="44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76" fillId="56" borderId="0" applyNumberFormat="0" applyBorder="0" applyAlignment="0" applyProtection="0"/>
    <xf numFmtId="0" fontId="45" fillId="0" borderId="0"/>
    <xf numFmtId="175" fontId="46" fillId="0" borderId="0" applyBorder="0" applyProtection="0">
      <alignment horizontal="right" vertical="top"/>
    </xf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3" fillId="0" borderId="0" applyFill="0" applyBorder="0" applyAlignment="0" applyProtection="0"/>
    <xf numFmtId="44" fontId="64" fillId="0" borderId="0" applyFont="0" applyFill="0" applyBorder="0" applyAlignment="0" applyProtection="0"/>
    <xf numFmtId="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47" fillId="13" borderId="0" applyNumberFormat="0" applyBorder="0" applyAlignment="0" applyProtection="0"/>
    <xf numFmtId="0" fontId="77" fillId="57" borderId="0" applyNumberFormat="0" applyBorder="0" applyAlignment="0" applyProtection="0"/>
    <xf numFmtId="0" fontId="47" fillId="13" borderId="0" applyNumberFormat="0" applyBorder="0" applyAlignment="0" applyProtection="0"/>
    <xf numFmtId="0" fontId="3" fillId="0" borderId="0"/>
    <xf numFmtId="0" fontId="69" fillId="0" borderId="0"/>
    <xf numFmtId="0" fontId="78" fillId="0" borderId="0"/>
    <xf numFmtId="0" fontId="7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8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69" fillId="0" borderId="0"/>
    <xf numFmtId="0" fontId="11" fillId="0" borderId="0"/>
    <xf numFmtId="0" fontId="3" fillId="10" borderId="8" applyNumberFormat="0" applyFont="0" applyAlignment="0" applyProtection="0"/>
    <xf numFmtId="0" fontId="1" fillId="58" borderId="79" applyNumberFormat="0" applyFont="0" applyAlignment="0" applyProtection="0"/>
    <xf numFmtId="0" fontId="49" fillId="22" borderId="9" applyNumberFormat="0" applyAlignment="0" applyProtection="0"/>
    <xf numFmtId="179" fontId="39" fillId="0" borderId="0">
      <protection locked="0"/>
    </xf>
    <xf numFmtId="180" fontId="39" fillId="0" borderId="0">
      <protection locked="0"/>
    </xf>
    <xf numFmtId="9" fontId="3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22" borderId="9" applyNumberFormat="0" applyAlignment="0" applyProtection="0"/>
    <xf numFmtId="0" fontId="81" fillId="47" borderId="80" applyNumberFormat="0" applyAlignment="0" applyProtection="0"/>
    <xf numFmtId="172" fontId="50" fillId="0" borderId="0">
      <protection locked="0"/>
    </xf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81" fontId="3" fillId="0" borderId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1" fillId="0" borderId="0"/>
    <xf numFmtId="0" fontId="5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42" fillId="0" borderId="5" applyNumberFormat="0" applyFill="0" applyAlignment="0" applyProtection="0"/>
    <xf numFmtId="0" fontId="56" fillId="0" borderId="10" applyNumberFormat="0" applyFill="0" applyAlignment="0" applyProtection="0"/>
    <xf numFmtId="0" fontId="42" fillId="0" borderId="5" applyNumberFormat="0" applyFill="0" applyAlignment="0" applyProtection="0"/>
    <xf numFmtId="0" fontId="85" fillId="0" borderId="81" applyNumberFormat="0" applyFill="0" applyAlignment="0" applyProtection="0"/>
    <xf numFmtId="0" fontId="43" fillId="0" borderId="6" applyNumberFormat="0" applyFill="0" applyAlignment="0" applyProtection="0"/>
    <xf numFmtId="0" fontId="86" fillId="0" borderId="82" applyNumberFormat="0" applyFill="0" applyAlignment="0" applyProtection="0"/>
    <xf numFmtId="0" fontId="44" fillId="0" borderId="7" applyNumberFormat="0" applyFill="0" applyAlignment="0" applyProtection="0"/>
    <xf numFmtId="0" fontId="87" fillId="0" borderId="83" applyNumberFormat="0" applyFill="0" applyAlignment="0" applyProtection="0"/>
    <xf numFmtId="0" fontId="44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172" fontId="54" fillId="0" borderId="0">
      <protection locked="0"/>
    </xf>
    <xf numFmtId="172" fontId="54" fillId="0" borderId="0">
      <protection locked="0"/>
    </xf>
    <xf numFmtId="0" fontId="55" fillId="0" borderId="11" applyNumberFormat="0" applyFill="0" applyAlignment="0" applyProtection="0"/>
    <xf numFmtId="0" fontId="88" fillId="0" borderId="84" applyNumberFormat="0" applyFill="0" applyAlignment="0" applyProtection="0"/>
    <xf numFmtId="164" fontId="3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3" fontId="3" fillId="0" borderId="0" applyFont="0" applyFill="0" applyBorder="0" applyAlignment="0" applyProtection="0"/>
  </cellStyleXfs>
  <cellXfs count="667">
    <xf numFmtId="0" fontId="0" fillId="0" borderId="0" xfId="0"/>
    <xf numFmtId="0" fontId="22" fillId="0" borderId="44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42" xfId="0" applyFont="1" applyBorder="1" applyAlignment="1">
      <alignment horizontal="center"/>
    </xf>
    <xf numFmtId="164" fontId="3" fillId="0" borderId="0" xfId="244"/>
    <xf numFmtId="0" fontId="0" fillId="0" borderId="0" xfId="0" applyAlignment="1">
      <alignment horizontal="center"/>
    </xf>
    <xf numFmtId="164" fontId="3" fillId="0" borderId="0" xfId="244" applyFont="1" applyFill="1" applyBorder="1"/>
    <xf numFmtId="0" fontId="6" fillId="0" borderId="1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/>
    <xf numFmtId="0" fontId="6" fillId="0" borderId="0" xfId="0" applyFont="1" applyAlignment="1">
      <alignment horizontal="center"/>
    </xf>
    <xf numFmtId="0" fontId="6" fillId="0" borderId="14" xfId="0" applyFont="1" applyBorder="1"/>
    <xf numFmtId="164" fontId="3" fillId="0" borderId="16" xfId="244" applyFont="1" applyFill="1" applyBorder="1"/>
    <xf numFmtId="0" fontId="0" fillId="0" borderId="16" xfId="0" applyBorder="1" applyAlignment="1">
      <alignment horizontal="center"/>
    </xf>
    <xf numFmtId="0" fontId="2" fillId="0" borderId="0" xfId="0" applyFont="1"/>
    <xf numFmtId="0" fontId="3" fillId="0" borderId="0" xfId="0" applyFont="1"/>
    <xf numFmtId="0" fontId="6" fillId="24" borderId="17" xfId="0" applyFont="1" applyFill="1" applyBorder="1"/>
    <xf numFmtId="164" fontId="4" fillId="0" borderId="18" xfId="244" applyFont="1" applyBorder="1" applyAlignment="1">
      <alignment horizontal="right"/>
    </xf>
    <xf numFmtId="164" fontId="7" fillId="0" borderId="18" xfId="244" applyFont="1" applyBorder="1" applyAlignment="1">
      <alignment horizontal="right"/>
    </xf>
    <xf numFmtId="164" fontId="6" fillId="0" borderId="12" xfId="244" applyFont="1" applyFill="1" applyBorder="1"/>
    <xf numFmtId="164" fontId="6" fillId="0" borderId="14" xfId="244" applyFont="1" applyFill="1" applyBorder="1"/>
    <xf numFmtId="164" fontId="6" fillId="0" borderId="19" xfId="244" applyFont="1" applyFill="1" applyBorder="1"/>
    <xf numFmtId="164" fontId="6" fillId="0" borderId="15" xfId="244" applyFont="1" applyFill="1" applyBorder="1"/>
    <xf numFmtId="0" fontId="3" fillId="0" borderId="17" xfId="0" applyFont="1" applyBorder="1" applyAlignment="1">
      <alignment horizontal="justify" vertical="top"/>
    </xf>
    <xf numFmtId="0" fontId="3" fillId="0" borderId="0" xfId="0" applyFont="1" applyAlignment="1">
      <alignment horizontal="left"/>
    </xf>
    <xf numFmtId="0" fontId="3" fillId="0" borderId="14" xfId="0" applyFont="1" applyBorder="1" applyAlignment="1">
      <alignment horizontal="center"/>
    </xf>
    <xf numFmtId="0" fontId="3" fillId="0" borderId="12" xfId="0" applyFont="1" applyBorder="1"/>
    <xf numFmtId="164" fontId="3" fillId="0" borderId="0" xfId="0" applyNumberFormat="1" applyFont="1"/>
    <xf numFmtId="43" fontId="3" fillId="0" borderId="0" xfId="0" applyNumberFormat="1" applyFont="1"/>
    <xf numFmtId="164" fontId="3" fillId="0" borderId="17" xfId="244" applyFont="1" applyBorder="1"/>
    <xf numFmtId="164" fontId="3" fillId="0" borderId="0" xfId="244" applyFont="1" applyBorder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2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2" xfId="0" applyFont="1" applyBorder="1" applyAlignment="1">
      <alignment horizontal="left"/>
    </xf>
    <xf numFmtId="165" fontId="5" fillId="0" borderId="0" xfId="0" applyNumberFormat="1" applyFont="1"/>
    <xf numFmtId="166" fontId="5" fillId="0" borderId="0" xfId="0" applyNumberFormat="1" applyFont="1"/>
    <xf numFmtId="2" fontId="5" fillId="0" borderId="0" xfId="0" applyNumberFormat="1" applyFont="1"/>
    <xf numFmtId="164" fontId="5" fillId="0" borderId="0" xfId="0" applyNumberFormat="1" applyFont="1"/>
    <xf numFmtId="0" fontId="3" fillId="0" borderId="0" xfId="0" applyFont="1" applyAlignment="1">
      <alignment horizontal="center" vertical="top"/>
    </xf>
    <xf numFmtId="0" fontId="3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17" xfId="0" applyFont="1" applyBorder="1" applyAlignment="1">
      <alignment horizontal="center" vertical="top"/>
    </xf>
    <xf numFmtId="164" fontId="3" fillId="0" borderId="14" xfId="244" applyFont="1" applyBorder="1"/>
    <xf numFmtId="0" fontId="3" fillId="0" borderId="17" xfId="0" applyFont="1" applyBorder="1" applyAlignment="1">
      <alignment horizontal="center"/>
    </xf>
    <xf numFmtId="0" fontId="3" fillId="0" borderId="17" xfId="0" applyFont="1" applyBorder="1"/>
    <xf numFmtId="164" fontId="2" fillId="0" borderId="17" xfId="244" applyFont="1" applyBorder="1"/>
    <xf numFmtId="0" fontId="3" fillId="0" borderId="0" xfId="170"/>
    <xf numFmtId="0" fontId="3" fillId="0" borderId="17" xfId="170" applyBorder="1"/>
    <xf numFmtId="0" fontId="3" fillId="0" borderId="23" xfId="170" applyBorder="1"/>
    <xf numFmtId="0" fontId="3" fillId="0" borderId="24" xfId="170" applyBorder="1"/>
    <xf numFmtId="0" fontId="2" fillId="0" borderId="23" xfId="170" applyFont="1" applyBorder="1"/>
    <xf numFmtId="0" fontId="3" fillId="0" borderId="25" xfId="170" applyBorder="1"/>
    <xf numFmtId="164" fontId="2" fillId="0" borderId="25" xfId="244" applyFont="1" applyFill="1" applyBorder="1"/>
    <xf numFmtId="0" fontId="2" fillId="0" borderId="24" xfId="170" applyFont="1" applyBorder="1"/>
    <xf numFmtId="0" fontId="2" fillId="0" borderId="25" xfId="170" applyFont="1" applyBorder="1"/>
    <xf numFmtId="0" fontId="2" fillId="0" borderId="25" xfId="170" applyFont="1" applyBorder="1" applyAlignment="1">
      <alignment horizontal="center"/>
    </xf>
    <xf numFmtId="0" fontId="3" fillId="0" borderId="18" xfId="170" applyBorder="1"/>
    <xf numFmtId="164" fontId="3" fillId="0" borderId="0" xfId="244" applyFill="1" applyBorder="1"/>
    <xf numFmtId="0" fontId="3" fillId="0" borderId="1" xfId="170" applyBorder="1"/>
    <xf numFmtId="0" fontId="3" fillId="0" borderId="26" xfId="170" applyBorder="1"/>
    <xf numFmtId="164" fontId="3" fillId="0" borderId="16" xfId="244" applyFill="1" applyBorder="1"/>
    <xf numFmtId="0" fontId="3" fillId="0" borderId="16" xfId="170" applyBorder="1"/>
    <xf numFmtId="0" fontId="3" fillId="0" borderId="15" xfId="170" applyBorder="1"/>
    <xf numFmtId="0" fontId="2" fillId="0" borderId="17" xfId="170" applyFont="1" applyBorder="1"/>
    <xf numFmtId="0" fontId="2" fillId="0" borderId="0" xfId="170" applyFont="1"/>
    <xf numFmtId="164" fontId="2" fillId="0" borderId="25" xfId="170" applyNumberFormat="1" applyFont="1" applyBorder="1"/>
    <xf numFmtId="0" fontId="2" fillId="0" borderId="23" xfId="170" applyFont="1" applyBorder="1" applyAlignment="1">
      <alignment horizontal="right"/>
    </xf>
    <xf numFmtId="0" fontId="3" fillId="0" borderId="27" xfId="170" applyBorder="1"/>
    <xf numFmtId="164" fontId="2" fillId="0" borderId="20" xfId="244" applyFont="1" applyFill="1" applyBorder="1"/>
    <xf numFmtId="0" fontId="2" fillId="0" borderId="20" xfId="170" applyFont="1" applyBorder="1"/>
    <xf numFmtId="0" fontId="3" fillId="0" borderId="20" xfId="170" applyBorder="1"/>
    <xf numFmtId="164" fontId="2" fillId="0" borderId="20" xfId="170" applyNumberFormat="1" applyFont="1" applyBorder="1"/>
    <xf numFmtId="0" fontId="2" fillId="0" borderId="19" xfId="170" applyFont="1" applyBorder="1"/>
    <xf numFmtId="164" fontId="3" fillId="0" borderId="25" xfId="244" applyFont="1" applyFill="1" applyBorder="1"/>
    <xf numFmtId="0" fontId="3" fillId="0" borderId="25" xfId="170" applyBorder="1" applyAlignment="1">
      <alignment horizontal="center"/>
    </xf>
    <xf numFmtId="0" fontId="2" fillId="0" borderId="27" xfId="170" applyFont="1" applyBorder="1"/>
    <xf numFmtId="0" fontId="2" fillId="0" borderId="18" xfId="170" applyFont="1" applyBorder="1"/>
    <xf numFmtId="0" fontId="2" fillId="0" borderId="1" xfId="170" applyFont="1" applyBorder="1"/>
    <xf numFmtId="0" fontId="2" fillId="0" borderId="26" xfId="170" applyFont="1" applyBorder="1"/>
    <xf numFmtId="0" fontId="2" fillId="0" borderId="15" xfId="170" applyFont="1" applyBorder="1"/>
    <xf numFmtId="0" fontId="3" fillId="0" borderId="0" xfId="0" applyFont="1" applyAlignment="1">
      <alignment horizontal="justify" vertical="top"/>
    </xf>
    <xf numFmtId="0" fontId="3" fillId="0" borderId="17" xfId="170" applyBorder="1" applyAlignment="1">
      <alignment horizontal="center"/>
    </xf>
    <xf numFmtId="0" fontId="10" fillId="0" borderId="0" xfId="170" applyFont="1" applyAlignment="1">
      <alignment horizontal="center"/>
    </xf>
    <xf numFmtId="0" fontId="12" fillId="0" borderId="0" xfId="170" applyFont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3" fillId="0" borderId="17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2" fontId="14" fillId="0" borderId="0" xfId="0" applyNumberFormat="1" applyFont="1" applyAlignment="1">
      <alignment horizontal="left" vertical="center"/>
    </xf>
    <xf numFmtId="2" fontId="14" fillId="0" borderId="0" xfId="0" applyNumberFormat="1" applyFont="1" applyAlignment="1">
      <alignment horizontal="centerContinuous" vertic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5" fillId="0" borderId="28" xfId="0" applyFont="1" applyBorder="1"/>
    <xf numFmtId="0" fontId="15" fillId="0" borderId="29" xfId="0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0" fillId="0" borderId="29" xfId="0" applyBorder="1"/>
    <xf numFmtId="0" fontId="0" fillId="0" borderId="21" xfId="0" applyBorder="1"/>
    <xf numFmtId="0" fontId="15" fillId="0" borderId="30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1" xfId="0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8" fillId="0" borderId="0" xfId="0" applyFont="1"/>
    <xf numFmtId="0" fontId="17" fillId="0" borderId="17" xfId="0" applyFont="1" applyBorder="1" applyAlignment="1">
      <alignment horizontal="center"/>
    </xf>
    <xf numFmtId="0" fontId="17" fillId="0" borderId="17" xfId="0" applyFont="1" applyBorder="1"/>
    <xf numFmtId="0" fontId="18" fillId="0" borderId="0" xfId="0" applyFont="1" applyAlignment="1">
      <alignment horizontal="center"/>
    </xf>
    <xf numFmtId="0" fontId="18" fillId="0" borderId="17" xfId="0" applyFont="1" applyBorder="1" applyAlignment="1">
      <alignment horizontal="center"/>
    </xf>
    <xf numFmtId="0" fontId="17" fillId="0" borderId="32" xfId="0" applyFont="1" applyBorder="1" applyAlignment="1">
      <alignment horizontal="center"/>
    </xf>
    <xf numFmtId="0" fontId="5" fillId="0" borderId="17" xfId="0" applyFont="1" applyBorder="1"/>
    <xf numFmtId="0" fontId="19" fillId="0" borderId="13" xfId="0" applyFont="1" applyBorder="1"/>
    <xf numFmtId="0" fontId="5" fillId="0" borderId="24" xfId="0" applyFont="1" applyBorder="1"/>
    <xf numFmtId="0" fontId="5" fillId="0" borderId="33" xfId="0" applyFont="1" applyBorder="1"/>
    <xf numFmtId="0" fontId="17" fillId="0" borderId="34" xfId="0" applyFont="1" applyBorder="1" applyAlignment="1">
      <alignment horizontal="center"/>
    </xf>
    <xf numFmtId="0" fontId="16" fillId="0" borderId="0" xfId="0" applyFont="1"/>
    <xf numFmtId="0" fontId="15" fillId="0" borderId="12" xfId="0" applyFont="1" applyBorder="1" applyAlignment="1">
      <alignment horizontal="center"/>
    </xf>
    <xf numFmtId="0" fontId="15" fillId="0" borderId="12" xfId="0" applyFont="1" applyBorder="1"/>
    <xf numFmtId="0" fontId="15" fillId="0" borderId="35" xfId="0" applyFont="1" applyBorder="1" applyAlignment="1">
      <alignment horizontal="center"/>
    </xf>
    <xf numFmtId="0" fontId="0" fillId="0" borderId="12" xfId="0" applyBorder="1"/>
    <xf numFmtId="0" fontId="13" fillId="0" borderId="13" xfId="0" applyFont="1" applyBorder="1"/>
    <xf numFmtId="0" fontId="0" fillId="0" borderId="19" xfId="0" applyBorder="1"/>
    <xf numFmtId="0" fontId="0" fillId="0" borderId="36" xfId="0" applyBorder="1"/>
    <xf numFmtId="0" fontId="20" fillId="0" borderId="37" xfId="0" applyFont="1" applyBorder="1"/>
    <xf numFmtId="0" fontId="20" fillId="0" borderId="37" xfId="0" applyFont="1" applyBorder="1" applyAlignment="1">
      <alignment horizontal="center"/>
    </xf>
    <xf numFmtId="0" fontId="14" fillId="0" borderId="37" xfId="0" applyFont="1" applyBorder="1"/>
    <xf numFmtId="0" fontId="2" fillId="0" borderId="37" xfId="0" applyFont="1" applyBorder="1"/>
    <xf numFmtId="0" fontId="3" fillId="0" borderId="37" xfId="0" applyFont="1" applyBorder="1"/>
    <xf numFmtId="0" fontId="3" fillId="0" borderId="38" xfId="0" applyFont="1" applyBorder="1"/>
    <xf numFmtId="0" fontId="0" fillId="0" borderId="0" xfId="0" applyAlignment="1">
      <alignment horizontal="right"/>
    </xf>
    <xf numFmtId="0" fontId="0" fillId="25" borderId="0" xfId="0" applyFill="1" applyAlignment="1">
      <alignment horizontal="left"/>
    </xf>
    <xf numFmtId="167" fontId="0" fillId="25" borderId="0" xfId="0" applyNumberFormat="1" applyFill="1" applyAlignment="1">
      <alignment horizontal="left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/>
    </xf>
    <xf numFmtId="17" fontId="15" fillId="0" borderId="0" xfId="0" applyNumberFormat="1" applyFont="1" applyAlignment="1">
      <alignment horizontal="left"/>
    </xf>
    <xf numFmtId="0" fontId="21" fillId="0" borderId="31" xfId="0" applyFont="1" applyBorder="1" applyAlignment="1">
      <alignment horizontal="center"/>
    </xf>
    <xf numFmtId="0" fontId="21" fillId="0" borderId="41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0" fontId="22" fillId="0" borderId="43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45" xfId="0" applyFont="1" applyBorder="1" applyAlignment="1">
      <alignment vertical="center"/>
    </xf>
    <xf numFmtId="0" fontId="22" fillId="0" borderId="46" xfId="0" applyFont="1" applyBorder="1" applyAlignment="1">
      <alignment vertical="center"/>
    </xf>
    <xf numFmtId="0" fontId="22" fillId="0" borderId="37" xfId="0" applyFont="1" applyBorder="1" applyAlignment="1">
      <alignment horizontal="centerContinuous" vertical="center"/>
    </xf>
    <xf numFmtId="0" fontId="22" fillId="0" borderId="37" xfId="0" quotePrefix="1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17" fillId="0" borderId="39" xfId="0" applyFont="1" applyBorder="1" applyAlignment="1">
      <alignment horizontal="center"/>
    </xf>
    <xf numFmtId="0" fontId="17" fillId="0" borderId="40" xfId="0" applyFont="1" applyBorder="1" applyAlignment="1">
      <alignment horizontal="center"/>
    </xf>
    <xf numFmtId="0" fontId="17" fillId="0" borderId="39" xfId="0" applyFont="1" applyBorder="1" applyAlignment="1">
      <alignment horizontal="left"/>
    </xf>
    <xf numFmtId="0" fontId="17" fillId="0" borderId="40" xfId="0" applyFont="1" applyBorder="1" applyAlignment="1">
      <alignment horizontal="left"/>
    </xf>
    <xf numFmtId="0" fontId="17" fillId="0" borderId="31" xfId="0" applyFont="1" applyBorder="1" applyAlignment="1">
      <alignment horizontal="left"/>
    </xf>
    <xf numFmtId="0" fontId="17" fillId="0" borderId="31" xfId="0" quotePrefix="1" applyFont="1" applyBorder="1" applyAlignment="1">
      <alignment horizontal="center"/>
    </xf>
    <xf numFmtId="0" fontId="17" fillId="0" borderId="49" xfId="0" applyFont="1" applyBorder="1"/>
    <xf numFmtId="0" fontId="17" fillId="0" borderId="23" xfId="0" applyFont="1" applyBorder="1" applyAlignment="1">
      <alignment horizontal="center"/>
    </xf>
    <xf numFmtId="2" fontId="17" fillId="0" borderId="24" xfId="0" applyNumberFormat="1" applyFont="1" applyBorder="1" applyAlignment="1">
      <alignment horizontal="center"/>
    </xf>
    <xf numFmtId="1" fontId="17" fillId="0" borderId="24" xfId="0" applyNumberFormat="1" applyFont="1" applyBorder="1" applyAlignment="1">
      <alignment horizontal="left"/>
    </xf>
    <xf numFmtId="2" fontId="17" fillId="0" borderId="17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7" fillId="0" borderId="50" xfId="0" applyNumberFormat="1" applyFont="1" applyBorder="1" applyAlignment="1">
      <alignment horizontal="center"/>
    </xf>
    <xf numFmtId="2" fontId="17" fillId="0" borderId="17" xfId="0" quotePrefix="1" applyNumberFormat="1" applyFont="1" applyBorder="1" applyAlignment="1">
      <alignment horizontal="center"/>
    </xf>
    <xf numFmtId="0" fontId="17" fillId="0" borderId="51" xfId="0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2" fontId="17" fillId="0" borderId="19" xfId="0" applyNumberFormat="1" applyFont="1" applyBorder="1" applyAlignment="1">
      <alignment horizontal="center"/>
    </xf>
    <xf numFmtId="2" fontId="17" fillId="0" borderId="27" xfId="0" applyNumberFormat="1" applyFont="1" applyBorder="1" applyAlignment="1">
      <alignment horizontal="left"/>
    </xf>
    <xf numFmtId="1" fontId="17" fillId="0" borderId="19" xfId="0" applyNumberFormat="1" applyFont="1" applyBorder="1" applyAlignment="1">
      <alignment horizontal="left"/>
    </xf>
    <xf numFmtId="2" fontId="17" fillId="0" borderId="12" xfId="0" applyNumberFormat="1" applyFont="1" applyBorder="1" applyAlignment="1">
      <alignment horizontal="center"/>
    </xf>
    <xf numFmtId="2" fontId="17" fillId="0" borderId="12" xfId="0" quotePrefix="1" applyNumberFormat="1" applyFont="1" applyBorder="1" applyAlignment="1">
      <alignment horizontal="center"/>
    </xf>
    <xf numFmtId="1" fontId="17" fillId="0" borderId="12" xfId="0" applyNumberFormat="1" applyFont="1" applyBorder="1" applyAlignment="1">
      <alignment horizontal="center"/>
    </xf>
    <xf numFmtId="1" fontId="17" fillId="0" borderId="52" xfId="0" applyNumberFormat="1" applyFont="1" applyBorder="1" applyAlignment="1">
      <alignment horizontal="center"/>
    </xf>
    <xf numFmtId="0" fontId="24" fillId="0" borderId="53" xfId="0" applyFont="1" applyBorder="1" applyAlignment="1">
      <alignment horizontal="center"/>
    </xf>
    <xf numFmtId="2" fontId="20" fillId="0" borderId="37" xfId="0" applyNumberFormat="1" applyFont="1" applyBorder="1" applyAlignment="1">
      <alignment horizontal="center"/>
    </xf>
    <xf numFmtId="0" fontId="24" fillId="0" borderId="37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0" borderId="46" xfId="0" applyFont="1" applyBorder="1" applyAlignment="1">
      <alignment horizontal="center"/>
    </xf>
    <xf numFmtId="1" fontId="24" fillId="0" borderId="46" xfId="0" applyNumberFormat="1" applyFont="1" applyBorder="1" applyAlignment="1">
      <alignment horizontal="left"/>
    </xf>
    <xf numFmtId="2" fontId="24" fillId="0" borderId="37" xfId="0" applyNumberFormat="1" applyFont="1" applyBorder="1" applyAlignment="1">
      <alignment horizontal="center"/>
    </xf>
    <xf numFmtId="2" fontId="24" fillId="0" borderId="37" xfId="0" quotePrefix="1" applyNumberFormat="1" applyFont="1" applyBorder="1" applyAlignment="1">
      <alignment horizontal="center"/>
    </xf>
    <xf numFmtId="1" fontId="20" fillId="0" borderId="37" xfId="0" applyNumberFormat="1" applyFont="1" applyBorder="1" applyAlignment="1">
      <alignment horizontal="center"/>
    </xf>
    <xf numFmtId="2" fontId="20" fillId="0" borderId="38" xfId="0" applyNumberFormat="1" applyFont="1" applyBorder="1" applyAlignment="1">
      <alignment horizontal="center"/>
    </xf>
    <xf numFmtId="0" fontId="25" fillId="0" borderId="0" xfId="0" applyFont="1"/>
    <xf numFmtId="2" fontId="0" fillId="0" borderId="0" xfId="0" applyNumberFormat="1"/>
    <xf numFmtId="0" fontId="0" fillId="59" borderId="0" xfId="0" applyFill="1"/>
    <xf numFmtId="0" fontId="17" fillId="59" borderId="30" xfId="0" applyFont="1" applyFill="1" applyBorder="1" applyAlignment="1">
      <alignment horizontal="center"/>
    </xf>
    <xf numFmtId="0" fontId="17" fillId="59" borderId="14" xfId="0" applyFont="1" applyFill="1" applyBorder="1" applyAlignment="1">
      <alignment horizontal="center"/>
    </xf>
    <xf numFmtId="0" fontId="17" fillId="59" borderId="17" xfId="0" applyFont="1" applyFill="1" applyBorder="1" applyAlignment="1">
      <alignment horizontal="center"/>
    </xf>
    <xf numFmtId="0" fontId="17" fillId="59" borderId="23" xfId="0" applyFont="1" applyFill="1" applyBorder="1" applyAlignment="1">
      <alignment horizontal="center"/>
    </xf>
    <xf numFmtId="2" fontId="17" fillId="59" borderId="24" xfId="0" applyNumberFormat="1" applyFont="1" applyFill="1" applyBorder="1" applyAlignment="1">
      <alignment horizontal="center"/>
    </xf>
    <xf numFmtId="1" fontId="17" fillId="59" borderId="24" xfId="0" applyNumberFormat="1" applyFont="1" applyFill="1" applyBorder="1" applyAlignment="1">
      <alignment horizontal="left"/>
    </xf>
    <xf numFmtId="2" fontId="17" fillId="59" borderId="17" xfId="0" applyNumberFormat="1" applyFont="1" applyFill="1" applyBorder="1" applyAlignment="1">
      <alignment horizontal="center"/>
    </xf>
    <xf numFmtId="1" fontId="17" fillId="59" borderId="17" xfId="0" applyNumberFormat="1" applyFont="1" applyFill="1" applyBorder="1" applyAlignment="1">
      <alignment horizontal="center"/>
    </xf>
    <xf numFmtId="1" fontId="17" fillId="59" borderId="50" xfId="0" applyNumberFormat="1" applyFont="1" applyFill="1" applyBorder="1" applyAlignment="1">
      <alignment horizontal="center"/>
    </xf>
    <xf numFmtId="0" fontId="17" fillId="59" borderId="34" xfId="0" applyFont="1" applyFill="1" applyBorder="1" applyAlignment="1">
      <alignment horizontal="center"/>
    </xf>
    <xf numFmtId="164" fontId="3" fillId="59" borderId="17" xfId="244" applyFont="1" applyFill="1" applyBorder="1"/>
    <xf numFmtId="0" fontId="3" fillId="60" borderId="17" xfId="0" applyFont="1" applyFill="1" applyBorder="1" applyAlignment="1">
      <alignment horizontal="center"/>
    </xf>
    <xf numFmtId="0" fontId="3" fillId="60" borderId="17" xfId="0" applyFont="1" applyFill="1" applyBorder="1"/>
    <xf numFmtId="164" fontId="3" fillId="60" borderId="17" xfId="244" applyFont="1" applyFill="1" applyBorder="1"/>
    <xf numFmtId="164" fontId="2" fillId="60" borderId="17" xfId="244" applyFont="1" applyFill="1" applyBorder="1"/>
    <xf numFmtId="164" fontId="2" fillId="0" borderId="0" xfId="244" applyFont="1" applyBorder="1"/>
    <xf numFmtId="164" fontId="2" fillId="0" borderId="0" xfId="244" applyFont="1" applyFill="1"/>
    <xf numFmtId="164" fontId="3" fillId="0" borderId="0" xfId="244" applyFill="1"/>
    <xf numFmtId="4" fontId="0" fillId="0" borderId="0" xfId="0" applyNumberFormat="1"/>
    <xf numFmtId="0" fontId="9" fillId="0" borderId="0" xfId="0" applyFont="1" applyAlignment="1">
      <alignment horizontal="center"/>
    </xf>
    <xf numFmtId="164" fontId="2" fillId="0" borderId="0" xfId="244" applyFont="1" applyFill="1" applyBorder="1"/>
    <xf numFmtId="4" fontId="3" fillId="0" borderId="0" xfId="244" applyNumberFormat="1" applyFill="1"/>
    <xf numFmtId="4" fontId="2" fillId="0" borderId="0" xfId="244" applyNumberFormat="1" applyFont="1" applyFill="1" applyBorder="1"/>
    <xf numFmtId="4" fontId="2" fillId="0" borderId="0" xfId="0" applyNumberFormat="1" applyFont="1"/>
    <xf numFmtId="164" fontId="0" fillId="0" borderId="0" xfId="0" applyNumberFormat="1"/>
    <xf numFmtId="9" fontId="0" fillId="0" borderId="0" xfId="0" applyNumberFormat="1"/>
    <xf numFmtId="43" fontId="0" fillId="0" borderId="0" xfId="0" applyNumberFormat="1"/>
    <xf numFmtId="43" fontId="2" fillId="0" borderId="0" xfId="0" applyNumberFormat="1" applyFont="1"/>
    <xf numFmtId="0" fontId="3" fillId="0" borderId="0" xfId="0" applyFont="1" applyAlignment="1">
      <alignment horizontal="right"/>
    </xf>
    <xf numFmtId="168" fontId="2" fillId="0" borderId="0" xfId="0" applyNumberFormat="1" applyFont="1"/>
    <xf numFmtId="0" fontId="2" fillId="0" borderId="0" xfId="0" applyFont="1" applyAlignment="1">
      <alignment horizontal="left"/>
    </xf>
    <xf numFmtId="2" fontId="2" fillId="0" borderId="0" xfId="0" applyNumberFormat="1" applyFont="1"/>
    <xf numFmtId="164" fontId="2" fillId="0" borderId="0" xfId="0" applyNumberFormat="1" applyFont="1"/>
    <xf numFmtId="4" fontId="3" fillId="0" borderId="0" xfId="0" applyNumberFormat="1" applyFont="1"/>
    <xf numFmtId="164" fontId="3" fillId="0" borderId="0" xfId="0" applyNumberFormat="1" applyFont="1" applyAlignment="1">
      <alignment horizontal="center"/>
    </xf>
    <xf numFmtId="164" fontId="5" fillId="59" borderId="0" xfId="244" applyFont="1" applyFill="1"/>
    <xf numFmtId="10" fontId="5" fillId="59" borderId="0" xfId="198" applyNumberFormat="1" applyFont="1" applyFill="1"/>
    <xf numFmtId="165" fontId="0" fillId="0" borderId="0" xfId="245" applyNumberFormat="1" applyFont="1" applyFill="1"/>
    <xf numFmtId="170" fontId="0" fillId="0" borderId="0" xfId="245" applyNumberFormat="1" applyFont="1" applyFill="1"/>
    <xf numFmtId="0" fontId="3" fillId="61" borderId="0" xfId="188" applyFill="1" applyAlignment="1">
      <alignment horizontal="left" indent="1"/>
    </xf>
    <xf numFmtId="0" fontId="3" fillId="0" borderId="0" xfId="173"/>
    <xf numFmtId="49" fontId="29" fillId="61" borderId="0" xfId="192" applyNumberFormat="1" applyFont="1" applyFill="1" applyAlignment="1">
      <alignment horizontal="center" vertical="center" wrapText="1"/>
    </xf>
    <xf numFmtId="0" fontId="3" fillId="61" borderId="0" xfId="172" applyFill="1"/>
    <xf numFmtId="0" fontId="3" fillId="61" borderId="0" xfId="173" applyFill="1"/>
    <xf numFmtId="0" fontId="2" fillId="61" borderId="0" xfId="173" applyFont="1" applyFill="1" applyAlignment="1">
      <alignment horizontal="center"/>
    </xf>
    <xf numFmtId="0" fontId="2" fillId="26" borderId="29" xfId="173" applyFont="1" applyFill="1" applyBorder="1" applyAlignment="1">
      <alignment horizontal="center"/>
    </xf>
    <xf numFmtId="10" fontId="2" fillId="26" borderId="29" xfId="173" applyNumberFormat="1" applyFont="1" applyFill="1" applyBorder="1" applyAlignment="1">
      <alignment horizontal="center"/>
    </xf>
    <xf numFmtId="0" fontId="2" fillId="24" borderId="54" xfId="173" applyFont="1" applyFill="1" applyBorder="1" applyAlignment="1">
      <alignment horizontal="left"/>
    </xf>
    <xf numFmtId="0" fontId="2" fillId="24" borderId="55" xfId="173" applyFont="1" applyFill="1" applyBorder="1"/>
    <xf numFmtId="0" fontId="2" fillId="24" borderId="56" xfId="173" applyFont="1" applyFill="1" applyBorder="1" applyAlignment="1">
      <alignment horizontal="center"/>
    </xf>
    <xf numFmtId="0" fontId="3" fillId="26" borderId="57" xfId="173" applyFill="1" applyBorder="1"/>
    <xf numFmtId="10" fontId="3" fillId="26" borderId="58" xfId="173" applyNumberFormat="1" applyFill="1" applyBorder="1" applyAlignment="1">
      <alignment horizontal="center"/>
    </xf>
    <xf numFmtId="10" fontId="3" fillId="26" borderId="59" xfId="173" applyNumberFormat="1" applyFill="1" applyBorder="1" applyAlignment="1">
      <alignment horizontal="center"/>
    </xf>
    <xf numFmtId="0" fontId="3" fillId="26" borderId="21" xfId="173" applyFill="1" applyBorder="1"/>
    <xf numFmtId="10" fontId="3" fillId="26" borderId="60" xfId="173" applyNumberFormat="1" applyFill="1" applyBorder="1" applyAlignment="1">
      <alignment horizontal="center"/>
    </xf>
    <xf numFmtId="10" fontId="3" fillId="26" borderId="22" xfId="173" applyNumberFormat="1" applyFill="1" applyBorder="1" applyAlignment="1">
      <alignment horizontal="center"/>
    </xf>
    <xf numFmtId="0" fontId="3" fillId="26" borderId="43" xfId="173" applyFill="1" applyBorder="1"/>
    <xf numFmtId="0" fontId="3" fillId="26" borderId="61" xfId="173" applyFill="1" applyBorder="1" applyAlignment="1">
      <alignment horizontal="left"/>
    </xf>
    <xf numFmtId="10" fontId="3" fillId="26" borderId="62" xfId="173" applyNumberFormat="1" applyFill="1" applyBorder="1" applyAlignment="1">
      <alignment horizontal="center"/>
    </xf>
    <xf numFmtId="0" fontId="2" fillId="26" borderId="21" xfId="173" applyFont="1" applyFill="1" applyBorder="1"/>
    <xf numFmtId="0" fontId="2" fillId="26" borderId="0" xfId="173" applyFont="1" applyFill="1" applyAlignment="1">
      <alignment horizontal="left"/>
    </xf>
    <xf numFmtId="0" fontId="2" fillId="26" borderId="54" xfId="173" applyFont="1" applyFill="1" applyBorder="1" applyAlignment="1">
      <alignment horizontal="left"/>
    </xf>
    <xf numFmtId="0" fontId="2" fillId="26" borderId="55" xfId="173" applyFont="1" applyFill="1" applyBorder="1"/>
    <xf numFmtId="0" fontId="2" fillId="26" borderId="63" xfId="173" applyFont="1" applyFill="1" applyBorder="1" applyAlignment="1">
      <alignment horizontal="center"/>
    </xf>
    <xf numFmtId="10" fontId="3" fillId="0" borderId="58" xfId="200" applyNumberFormat="1" applyFont="1" applyBorder="1" applyAlignment="1">
      <alignment horizontal="center"/>
    </xf>
    <xf numFmtId="0" fontId="3" fillId="61" borderId="0" xfId="173" applyFill="1" applyAlignment="1">
      <alignment horizontal="left"/>
    </xf>
    <xf numFmtId="10" fontId="3" fillId="26" borderId="63" xfId="173" applyNumberFormat="1" applyFill="1" applyBorder="1" applyAlignment="1">
      <alignment horizontal="center"/>
    </xf>
    <xf numFmtId="10" fontId="2" fillId="26" borderId="62" xfId="173" applyNumberFormat="1" applyFont="1" applyFill="1" applyBorder="1" applyAlignment="1">
      <alignment horizontal="center"/>
    </xf>
    <xf numFmtId="0" fontId="2" fillId="26" borderId="56" xfId="173" applyFont="1" applyFill="1" applyBorder="1" applyAlignment="1">
      <alignment horizontal="center"/>
    </xf>
    <xf numFmtId="0" fontId="2" fillId="26" borderId="21" xfId="173" applyFont="1" applyFill="1" applyBorder="1" applyAlignment="1">
      <alignment vertical="top"/>
    </xf>
    <xf numFmtId="10" fontId="2" fillId="26" borderId="62" xfId="173" applyNumberFormat="1" applyFont="1" applyFill="1" applyBorder="1" applyAlignment="1">
      <alignment horizontal="center" vertical="top"/>
    </xf>
    <xf numFmtId="0" fontId="2" fillId="26" borderId="54" xfId="173" applyFont="1" applyFill="1" applyBorder="1"/>
    <xf numFmtId="0" fontId="2" fillId="26" borderId="55" xfId="173" applyFont="1" applyFill="1" applyBorder="1" applyAlignment="1">
      <alignment horizontal="left"/>
    </xf>
    <xf numFmtId="0" fontId="3" fillId="26" borderId="55" xfId="173" applyFill="1" applyBorder="1" applyAlignment="1">
      <alignment horizontal="left"/>
    </xf>
    <xf numFmtId="0" fontId="3" fillId="26" borderId="28" xfId="173" applyFill="1" applyBorder="1"/>
    <xf numFmtId="171" fontId="2" fillId="26" borderId="28" xfId="173" applyNumberFormat="1" applyFont="1" applyFill="1" applyBorder="1" applyAlignment="1">
      <alignment horizontal="center"/>
    </xf>
    <xf numFmtId="0" fontId="3" fillId="26" borderId="59" xfId="173" applyFill="1" applyBorder="1"/>
    <xf numFmtId="0" fontId="3" fillId="26" borderId="61" xfId="173" applyFill="1" applyBorder="1"/>
    <xf numFmtId="0" fontId="3" fillId="26" borderId="63" xfId="173" applyFill="1" applyBorder="1"/>
    <xf numFmtId="10" fontId="2" fillId="24" borderId="54" xfId="173" applyNumberFormat="1" applyFont="1" applyFill="1" applyBorder="1"/>
    <xf numFmtId="10" fontId="2" fillId="24" borderId="29" xfId="173" applyNumberFormat="1" applyFont="1" applyFill="1" applyBorder="1"/>
    <xf numFmtId="0" fontId="69" fillId="0" borderId="0" xfId="167" applyAlignment="1">
      <alignment horizontal="center"/>
    </xf>
    <xf numFmtId="0" fontId="2" fillId="61" borderId="0" xfId="172" applyFont="1" applyFill="1" applyAlignment="1">
      <alignment horizontal="center" vertical="center"/>
    </xf>
    <xf numFmtId="0" fontId="2" fillId="61" borderId="0" xfId="188" applyFont="1" applyFill="1" applyAlignment="1">
      <alignment horizontal="center"/>
    </xf>
    <xf numFmtId="0" fontId="0" fillId="61" borderId="0" xfId="0" applyFill="1"/>
    <xf numFmtId="0" fontId="28" fillId="61" borderId="0" xfId="0" applyFont="1" applyFill="1"/>
    <xf numFmtId="0" fontId="3" fillId="61" borderId="0" xfId="0" applyFont="1" applyFill="1"/>
    <xf numFmtId="164" fontId="2" fillId="0" borderId="56" xfId="244" applyFont="1" applyFill="1" applyBorder="1"/>
    <xf numFmtId="0" fontId="6" fillId="24" borderId="17" xfId="0" applyFont="1" applyFill="1" applyBorder="1" applyAlignment="1">
      <alignment horizontal="left"/>
    </xf>
    <xf numFmtId="0" fontId="5" fillId="0" borderId="59" xfId="0" applyFont="1" applyBorder="1" applyAlignment="1">
      <alignment horizontal="left"/>
    </xf>
    <xf numFmtId="0" fontId="6" fillId="24" borderId="17" xfId="0" applyFont="1" applyFill="1" applyBorder="1" applyAlignment="1">
      <alignment horizontal="center"/>
    </xf>
    <xf numFmtId="0" fontId="6" fillId="0" borderId="12" xfId="0" applyFont="1" applyBorder="1" applyAlignment="1">
      <alignment horizontal="left"/>
    </xf>
    <xf numFmtId="0" fontId="6" fillId="0" borderId="19" xfId="0" applyFont="1" applyBorder="1"/>
    <xf numFmtId="0" fontId="5" fillId="0" borderId="63" xfId="0" applyFont="1" applyBorder="1" applyAlignment="1">
      <alignment horizontal="right"/>
    </xf>
    <xf numFmtId="2" fontId="58" fillId="62" borderId="0" xfId="244" applyNumberFormat="1" applyFont="1" applyFill="1" applyBorder="1" applyAlignment="1">
      <alignment horizontal="center"/>
    </xf>
    <xf numFmtId="0" fontId="5" fillId="60" borderId="17" xfId="0" applyFont="1" applyFill="1" applyBorder="1" applyAlignment="1">
      <alignment horizontal="center" vertical="center"/>
    </xf>
    <xf numFmtId="0" fontId="5" fillId="60" borderId="17" xfId="0" applyFont="1" applyFill="1" applyBorder="1" applyAlignment="1">
      <alignment horizontal="left" vertical="center" wrapText="1"/>
    </xf>
    <xf numFmtId="0" fontId="5" fillId="61" borderId="17" xfId="0" applyFont="1" applyFill="1" applyBorder="1" applyAlignment="1">
      <alignment horizontal="center" vertical="center"/>
    </xf>
    <xf numFmtId="0" fontId="5" fillId="61" borderId="17" xfId="0" applyFont="1" applyFill="1" applyBorder="1" applyAlignment="1">
      <alignment horizontal="left" vertical="center" wrapText="1"/>
    </xf>
    <xf numFmtId="2" fontId="58" fillId="62" borderId="0" xfId="0" applyNumberFormat="1" applyFont="1" applyFill="1" applyAlignment="1">
      <alignment horizontal="center" vertical="center"/>
    </xf>
    <xf numFmtId="2" fontId="5" fillId="60" borderId="17" xfId="0" applyNumberFormat="1" applyFont="1" applyFill="1" applyBorder="1" applyAlignment="1">
      <alignment horizontal="center" vertical="center"/>
    </xf>
    <xf numFmtId="2" fontId="5" fillId="61" borderId="17" xfId="0" applyNumberFormat="1" applyFont="1" applyFill="1" applyBorder="1" applyAlignment="1">
      <alignment horizontal="center" vertical="center"/>
    </xf>
    <xf numFmtId="0" fontId="46" fillId="0" borderId="27" xfId="0" applyFont="1" applyBorder="1" applyAlignment="1">
      <alignment horizontal="center"/>
    </xf>
    <xf numFmtId="0" fontId="46" fillId="0" borderId="20" xfId="0" applyFont="1" applyBorder="1" applyAlignment="1">
      <alignment horizontal="center"/>
    </xf>
    <xf numFmtId="0" fontId="6" fillId="61" borderId="23" xfId="0" applyFont="1" applyFill="1" applyBorder="1" applyAlignment="1">
      <alignment vertical="center" wrapText="1"/>
    </xf>
    <xf numFmtId="0" fontId="46" fillId="0" borderId="23" xfId="0" applyFont="1" applyBorder="1"/>
    <xf numFmtId="2" fontId="58" fillId="62" borderId="17" xfId="244" applyNumberFormat="1" applyFont="1" applyFill="1" applyBorder="1" applyAlignment="1">
      <alignment horizontal="center"/>
    </xf>
    <xf numFmtId="0" fontId="5" fillId="61" borderId="23" xfId="0" applyFont="1" applyFill="1" applyBorder="1" applyAlignment="1">
      <alignment horizontal="left" vertical="center" wrapText="1"/>
    </xf>
    <xf numFmtId="0" fontId="5" fillId="61" borderId="23" xfId="0" applyFont="1" applyFill="1" applyBorder="1" applyAlignment="1">
      <alignment horizontal="center" vertical="center"/>
    </xf>
    <xf numFmtId="49" fontId="5" fillId="60" borderId="17" xfId="0" applyNumberFormat="1" applyFont="1" applyFill="1" applyBorder="1" applyAlignment="1">
      <alignment horizontal="center" vertical="center"/>
    </xf>
    <xf numFmtId="2" fontId="5" fillId="60" borderId="23" xfId="244" applyNumberFormat="1" applyFont="1" applyFill="1" applyBorder="1" applyAlignment="1">
      <alignment horizontal="center"/>
    </xf>
    <xf numFmtId="2" fontId="5" fillId="61" borderId="23" xfId="244" applyNumberFormat="1" applyFont="1" applyFill="1" applyBorder="1" applyAlignment="1">
      <alignment horizontal="center"/>
    </xf>
    <xf numFmtId="2" fontId="6" fillId="61" borderId="23" xfId="244" applyNumberFormat="1" applyFont="1" applyFill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2" fontId="2" fillId="60" borderId="17" xfId="244" applyNumberFormat="1" applyFont="1" applyFill="1" applyBorder="1" applyAlignment="1">
      <alignment horizontal="center"/>
    </xf>
    <xf numFmtId="2" fontId="2" fillId="61" borderId="17" xfId="244" applyNumberFormat="1" applyFont="1" applyFill="1" applyBorder="1" applyAlignment="1">
      <alignment horizontal="center"/>
    </xf>
    <xf numFmtId="2" fontId="5" fillId="61" borderId="25" xfId="0" applyNumberFormat="1" applyFont="1" applyFill="1" applyBorder="1" applyAlignment="1">
      <alignment horizontal="center" vertical="center"/>
    </xf>
    <xf numFmtId="2" fontId="5" fillId="61" borderId="17" xfId="244" applyNumberFormat="1" applyFont="1" applyFill="1" applyBorder="1" applyAlignment="1">
      <alignment horizontal="center"/>
    </xf>
    <xf numFmtId="0" fontId="6" fillId="61" borderId="17" xfId="0" applyFont="1" applyFill="1" applyBorder="1" applyAlignment="1">
      <alignment vertical="center" wrapText="1"/>
    </xf>
    <xf numFmtId="2" fontId="6" fillId="61" borderId="17" xfId="244" applyNumberFormat="1" applyFont="1" applyFill="1" applyBorder="1" applyAlignment="1">
      <alignment horizontal="center"/>
    </xf>
    <xf numFmtId="2" fontId="5" fillId="61" borderId="24" xfId="0" applyNumberFormat="1" applyFont="1" applyFill="1" applyBorder="1" applyAlignment="1">
      <alignment horizontal="center" vertical="center"/>
    </xf>
    <xf numFmtId="2" fontId="5" fillId="60" borderId="24" xfId="0" applyNumberFormat="1" applyFont="1" applyFill="1" applyBorder="1" applyAlignment="1">
      <alignment horizontal="center" vertical="center"/>
    </xf>
    <xf numFmtId="2" fontId="5" fillId="60" borderId="17" xfId="244" applyNumberFormat="1" applyFont="1" applyFill="1" applyBorder="1" applyAlignment="1">
      <alignment horizontal="center"/>
    </xf>
    <xf numFmtId="0" fontId="89" fillId="0" borderId="17" xfId="0" applyFont="1" applyBorder="1" applyAlignment="1">
      <alignment horizontal="center" vertical="center" wrapText="1"/>
    </xf>
    <xf numFmtId="0" fontId="89" fillId="0" borderId="17" xfId="0" quotePrefix="1" applyFont="1" applyBorder="1" applyAlignment="1">
      <alignment horizontal="center" vertical="center" wrapText="1"/>
    </xf>
    <xf numFmtId="0" fontId="89" fillId="0" borderId="17" xfId="0" applyFont="1" applyBorder="1" applyAlignment="1">
      <alignment horizontal="left" vertical="center" wrapText="1"/>
    </xf>
    <xf numFmtId="44" fontId="89" fillId="0" borderId="17" xfId="160" applyFont="1" applyFill="1" applyBorder="1" applyAlignment="1">
      <alignment horizontal="center" vertical="center" wrapText="1"/>
    </xf>
    <xf numFmtId="10" fontId="63" fillId="63" borderId="25" xfId="0" applyNumberFormat="1" applyFont="1" applyFill="1" applyBorder="1" applyAlignment="1">
      <alignment vertical="center" wrapText="1"/>
    </xf>
    <xf numFmtId="0" fontId="61" fillId="63" borderId="17" xfId="0" applyFont="1" applyFill="1" applyBorder="1" applyAlignment="1">
      <alignment horizontal="center" vertical="center" wrapText="1"/>
    </xf>
    <xf numFmtId="2" fontId="89" fillId="61" borderId="17" xfId="0" applyNumberFormat="1" applyFont="1" applyFill="1" applyBorder="1" applyAlignment="1">
      <alignment horizontal="center" vertical="center" wrapText="1"/>
    </xf>
    <xf numFmtId="44" fontId="0" fillId="0" borderId="17" xfId="160" applyFont="1" applyBorder="1" applyAlignment="1">
      <alignment horizontal="center" vertical="center"/>
    </xf>
    <xf numFmtId="44" fontId="90" fillId="64" borderId="17" xfId="160" applyFont="1" applyFill="1" applyBorder="1" applyAlignment="1">
      <alignment horizontal="center" vertical="center" wrapText="1"/>
    </xf>
    <xf numFmtId="0" fontId="91" fillId="65" borderId="23" xfId="0" applyFont="1" applyFill="1" applyBorder="1" applyAlignment="1">
      <alignment horizontal="left" vertical="center" wrapText="1"/>
    </xf>
    <xf numFmtId="0" fontId="91" fillId="65" borderId="25" xfId="0" applyFont="1" applyFill="1" applyBorder="1" applyAlignment="1">
      <alignment horizontal="left" vertical="center" wrapText="1"/>
    </xf>
    <xf numFmtId="0" fontId="91" fillId="65" borderId="24" xfId="0" applyFont="1" applyFill="1" applyBorder="1" applyAlignment="1">
      <alignment horizontal="left" vertical="center" wrapText="1"/>
    </xf>
    <xf numFmtId="44" fontId="90" fillId="61" borderId="17" xfId="160" applyFont="1" applyFill="1" applyBorder="1" applyAlignment="1">
      <alignment horizontal="center" vertical="center" wrapText="1"/>
    </xf>
    <xf numFmtId="44" fontId="92" fillId="66" borderId="17" xfId="160" applyFont="1" applyFill="1" applyBorder="1" applyAlignment="1">
      <alignment horizontal="center" vertical="center" wrapText="1"/>
    </xf>
    <xf numFmtId="4" fontId="89" fillId="61" borderId="17" xfId="0" applyNumberFormat="1" applyFont="1" applyFill="1" applyBorder="1" applyAlignment="1">
      <alignment horizontal="center" vertical="center" wrapText="1"/>
    </xf>
    <xf numFmtId="0" fontId="60" fillId="0" borderId="0" xfId="0" applyFont="1" applyAlignment="1">
      <alignment vertical="center"/>
    </xf>
    <xf numFmtId="0" fontId="5" fillId="61" borderId="23" xfId="0" applyFont="1" applyFill="1" applyBorder="1" applyAlignment="1">
      <alignment vertical="center" wrapText="1"/>
    </xf>
    <xf numFmtId="2" fontId="5" fillId="61" borderId="17" xfId="0" applyNumberFormat="1" applyFont="1" applyFill="1" applyBorder="1" applyAlignment="1">
      <alignment horizontal="right" vertical="center" wrapText="1"/>
    </xf>
    <xf numFmtId="0" fontId="93" fillId="61" borderId="17" xfId="0" applyFont="1" applyFill="1" applyBorder="1" applyAlignment="1">
      <alignment horizontal="center" vertical="center"/>
    </xf>
    <xf numFmtId="2" fontId="58" fillId="67" borderId="14" xfId="244" applyNumberFormat="1" applyFont="1" applyFill="1" applyBorder="1" applyAlignment="1">
      <alignment horizontal="center" vertical="center"/>
    </xf>
    <xf numFmtId="0" fontId="88" fillId="65" borderId="17" xfId="0" applyFont="1" applyFill="1" applyBorder="1" applyAlignment="1">
      <alignment horizontal="center"/>
    </xf>
    <xf numFmtId="0" fontId="0" fillId="65" borderId="17" xfId="0" applyFill="1" applyBorder="1" applyAlignment="1">
      <alignment horizontal="center"/>
    </xf>
    <xf numFmtId="10" fontId="0" fillId="0" borderId="12" xfId="198" applyNumberFormat="1" applyFont="1" applyBorder="1" applyAlignment="1">
      <alignment horizontal="center"/>
    </xf>
    <xf numFmtId="44" fontId="0" fillId="0" borderId="14" xfId="0" applyNumberFormat="1" applyBorder="1"/>
    <xf numFmtId="0" fontId="0" fillId="61" borderId="13" xfId="0" applyFill="1" applyBorder="1"/>
    <xf numFmtId="0" fontId="88" fillId="65" borderId="17" xfId="0" applyFont="1" applyFill="1" applyBorder="1" applyAlignment="1">
      <alignment vertical="center"/>
    </xf>
    <xf numFmtId="44" fontId="88" fillId="65" borderId="17" xfId="0" applyNumberFormat="1" applyFont="1" applyFill="1" applyBorder="1" applyAlignment="1">
      <alignment vertical="center"/>
    </xf>
    <xf numFmtId="43" fontId="88" fillId="65" borderId="17" xfId="246" applyFont="1" applyFill="1" applyBorder="1" applyAlignment="1">
      <alignment vertical="center"/>
    </xf>
    <xf numFmtId="0" fontId="0" fillId="0" borderId="17" xfId="0" applyBorder="1"/>
    <xf numFmtId="0" fontId="88" fillId="0" borderId="17" xfId="0" applyFont="1" applyBorder="1" applyAlignment="1">
      <alignment vertical="center"/>
    </xf>
    <xf numFmtId="10" fontId="0" fillId="0" borderId="17" xfId="198" applyNumberFormat="1" applyFont="1" applyBorder="1" applyAlignment="1">
      <alignment horizontal="center" vertical="center"/>
    </xf>
    <xf numFmtId="10" fontId="0" fillId="0" borderId="17" xfId="0" applyNumberFormat="1" applyBorder="1"/>
    <xf numFmtId="10" fontId="0" fillId="0" borderId="17" xfId="0" applyNumberFormat="1" applyBorder="1" applyAlignment="1">
      <alignment horizontal="center" vertical="center"/>
    </xf>
    <xf numFmtId="0" fontId="66" fillId="63" borderId="0" xfId="0" applyFont="1" applyFill="1" applyAlignment="1">
      <alignment vertical="center" wrapText="1"/>
    </xf>
    <xf numFmtId="0" fontId="61" fillId="63" borderId="0" xfId="0" applyFont="1" applyFill="1" applyAlignment="1">
      <alignment vertical="center" wrapText="1"/>
    </xf>
    <xf numFmtId="0" fontId="0" fillId="68" borderId="13" xfId="0" applyFill="1" applyBorder="1"/>
    <xf numFmtId="2" fontId="58" fillId="27" borderId="0" xfId="0" applyNumberFormat="1" applyFont="1" applyFill="1" applyAlignment="1">
      <alignment horizontal="center" vertical="center"/>
    </xf>
    <xf numFmtId="2" fontId="58" fillId="67" borderId="0" xfId="244" applyNumberFormat="1" applyFont="1" applyFill="1" applyBorder="1" applyAlignment="1">
      <alignment horizontal="center" vertical="center"/>
    </xf>
    <xf numFmtId="0" fontId="6" fillId="61" borderId="23" xfId="0" applyFont="1" applyFill="1" applyBorder="1" applyAlignment="1">
      <alignment horizontal="right" vertical="center" wrapText="1"/>
    </xf>
    <xf numFmtId="0" fontId="6" fillId="61" borderId="25" xfId="0" applyFont="1" applyFill="1" applyBorder="1" applyAlignment="1">
      <alignment horizontal="right" vertical="center" wrapText="1"/>
    </xf>
    <xf numFmtId="0" fontId="6" fillId="61" borderId="24" xfId="0" applyFont="1" applyFill="1" applyBorder="1" applyAlignment="1">
      <alignment horizontal="right" vertical="center" wrapText="1"/>
    </xf>
    <xf numFmtId="0" fontId="6" fillId="61" borderId="17" xfId="0" applyFont="1" applyFill="1" applyBorder="1" applyAlignment="1">
      <alignment horizontal="right" vertical="center" wrapText="1"/>
    </xf>
    <xf numFmtId="0" fontId="5" fillId="61" borderId="23" xfId="0" applyFont="1" applyFill="1" applyBorder="1" applyAlignment="1">
      <alignment horizontal="center" vertical="center" wrapText="1"/>
    </xf>
    <xf numFmtId="2" fontId="5" fillId="60" borderId="17" xfId="0" applyNumberFormat="1" applyFont="1" applyFill="1" applyBorder="1" applyAlignment="1">
      <alignment horizontal="center" vertical="center" wrapText="1"/>
    </xf>
    <xf numFmtId="184" fontId="5" fillId="61" borderId="17" xfId="0" applyNumberFormat="1" applyFont="1" applyFill="1" applyBorder="1" applyAlignment="1">
      <alignment horizontal="center" vertical="center" wrapText="1"/>
    </xf>
    <xf numFmtId="2" fontId="5" fillId="61" borderId="17" xfId="0" applyNumberFormat="1" applyFont="1" applyFill="1" applyBorder="1" applyAlignment="1">
      <alignment horizontal="center" vertical="center" wrapText="1"/>
    </xf>
    <xf numFmtId="2" fontId="5" fillId="61" borderId="17" xfId="244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164" fontId="0" fillId="0" borderId="17" xfId="244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0" fontId="0" fillId="69" borderId="0" xfId="0" applyFill="1"/>
    <xf numFmtId="0" fontId="94" fillId="69" borderId="85" xfId="0" applyFont="1" applyFill="1" applyBorder="1"/>
    <xf numFmtId="0" fontId="0" fillId="69" borderId="86" xfId="0" applyFill="1" applyBorder="1"/>
    <xf numFmtId="0" fontId="94" fillId="69" borderId="86" xfId="0" applyFont="1" applyFill="1" applyBorder="1"/>
    <xf numFmtId="0" fontId="0" fillId="69" borderId="87" xfId="0" applyFill="1" applyBorder="1"/>
    <xf numFmtId="0" fontId="0" fillId="69" borderId="88" xfId="0" applyFill="1" applyBorder="1"/>
    <xf numFmtId="0" fontId="94" fillId="69" borderId="89" xfId="0" applyFont="1" applyFill="1" applyBorder="1"/>
    <xf numFmtId="0" fontId="94" fillId="69" borderId="0" xfId="0" applyFont="1" applyFill="1"/>
    <xf numFmtId="0" fontId="95" fillId="69" borderId="0" xfId="0" applyFont="1" applyFill="1" applyAlignment="1">
      <alignment horizontal="center"/>
    </xf>
    <xf numFmtId="0" fontId="0" fillId="69" borderId="90" xfId="0" applyFill="1" applyBorder="1"/>
    <xf numFmtId="0" fontId="0" fillId="69" borderId="91" xfId="0" applyFill="1" applyBorder="1"/>
    <xf numFmtId="0" fontId="0" fillId="69" borderId="92" xfId="0" applyFill="1" applyBorder="1"/>
    <xf numFmtId="0" fontId="96" fillId="0" borderId="0" xfId="0" applyFont="1"/>
    <xf numFmtId="0" fontId="0" fillId="0" borderId="0" xfId="0" applyAlignment="1">
      <alignment wrapText="1"/>
    </xf>
    <xf numFmtId="0" fontId="0" fillId="0" borderId="16" xfId="0" applyBorder="1"/>
    <xf numFmtId="44" fontId="0" fillId="0" borderId="14" xfId="0" applyNumberFormat="1" applyBorder="1" applyAlignment="1">
      <alignment vertical="center"/>
    </xf>
    <xf numFmtId="167" fontId="58" fillId="70" borderId="18" xfId="0" applyNumberFormat="1" applyFont="1" applyFill="1" applyBorder="1" applyAlignment="1">
      <alignment horizontal="center" vertical="center"/>
    </xf>
    <xf numFmtId="0" fontId="58" fillId="70" borderId="0" xfId="0" applyFont="1" applyFill="1" applyAlignment="1">
      <alignment horizontal="left" vertical="center" wrapText="1"/>
    </xf>
    <xf numFmtId="0" fontId="58" fillId="70" borderId="0" xfId="0" applyFont="1" applyFill="1" applyAlignment="1">
      <alignment horizontal="center" vertical="center"/>
    </xf>
    <xf numFmtId="2" fontId="58" fillId="70" borderId="0" xfId="0" applyNumberFormat="1" applyFont="1" applyFill="1" applyAlignment="1">
      <alignment horizontal="center" vertical="center"/>
    </xf>
    <xf numFmtId="2" fontId="58" fillId="70" borderId="1" xfId="244" applyNumberFormat="1" applyFont="1" applyFill="1" applyBorder="1" applyAlignment="1">
      <alignment horizontal="center"/>
    </xf>
    <xf numFmtId="167" fontId="58" fillId="71" borderId="18" xfId="0" applyNumberFormat="1" applyFont="1" applyFill="1" applyBorder="1" applyAlignment="1">
      <alignment horizontal="center" vertical="center"/>
    </xf>
    <xf numFmtId="0" fontId="58" fillId="71" borderId="0" xfId="0" applyFont="1" applyFill="1" applyAlignment="1">
      <alignment horizontal="left" vertical="center" wrapText="1"/>
    </xf>
    <xf numFmtId="0" fontId="58" fillId="71" borderId="0" xfId="0" applyFont="1" applyFill="1" applyAlignment="1">
      <alignment horizontal="center" vertical="center"/>
    </xf>
    <xf numFmtId="2" fontId="58" fillId="71" borderId="0" xfId="0" applyNumberFormat="1" applyFont="1" applyFill="1" applyAlignment="1">
      <alignment horizontal="center" vertical="center"/>
    </xf>
    <xf numFmtId="2" fontId="58" fillId="71" borderId="1" xfId="244" applyNumberFormat="1" applyFont="1" applyFill="1" applyBorder="1" applyAlignment="1">
      <alignment horizontal="center"/>
    </xf>
    <xf numFmtId="0" fontId="5" fillId="71" borderId="17" xfId="0" applyFont="1" applyFill="1" applyBorder="1" applyAlignment="1">
      <alignment horizontal="center" vertical="center"/>
    </xf>
    <xf numFmtId="0" fontId="5" fillId="71" borderId="17" xfId="0" applyFont="1" applyFill="1" applyBorder="1" applyAlignment="1">
      <alignment horizontal="left" vertical="center" wrapText="1"/>
    </xf>
    <xf numFmtId="2" fontId="5" fillId="71" borderId="17" xfId="0" applyNumberFormat="1" applyFont="1" applyFill="1" applyBorder="1" applyAlignment="1">
      <alignment horizontal="center" vertical="center"/>
    </xf>
    <xf numFmtId="2" fontId="5" fillId="71" borderId="17" xfId="244" applyNumberFormat="1" applyFont="1" applyFill="1" applyBorder="1" applyAlignment="1">
      <alignment horizontal="center"/>
    </xf>
    <xf numFmtId="0" fontId="28" fillId="61" borderId="64" xfId="175" applyFont="1" applyFill="1" applyBorder="1" applyAlignment="1">
      <alignment horizontal="center" vertical="center" wrapText="1"/>
    </xf>
    <xf numFmtId="182" fontId="28" fillId="61" borderId="65" xfId="0" applyNumberFormat="1" applyFont="1" applyFill="1" applyBorder="1" applyAlignment="1">
      <alignment horizontal="center" vertical="center"/>
    </xf>
    <xf numFmtId="183" fontId="28" fillId="61" borderId="65" xfId="0" applyNumberFormat="1" applyFont="1" applyFill="1" applyBorder="1" applyAlignment="1">
      <alignment horizontal="center" vertical="center"/>
    </xf>
    <xf numFmtId="0" fontId="28" fillId="61" borderId="66" xfId="175" applyFont="1" applyFill="1" applyBorder="1" applyAlignment="1">
      <alignment horizontal="center" vertical="center" wrapText="1"/>
    </xf>
    <xf numFmtId="182" fontId="28" fillId="61" borderId="67" xfId="0" applyNumberFormat="1" applyFont="1" applyFill="1" applyBorder="1" applyAlignment="1">
      <alignment horizontal="center" vertical="center"/>
    </xf>
    <xf numFmtId="0" fontId="28" fillId="61" borderId="68" xfId="175" applyFont="1" applyFill="1" applyBorder="1" applyAlignment="1">
      <alignment horizontal="center" vertical="center" wrapText="1"/>
    </xf>
    <xf numFmtId="9" fontId="28" fillId="0" borderId="69" xfId="198" applyFont="1" applyBorder="1" applyAlignment="1">
      <alignment horizontal="center" vertical="center"/>
    </xf>
    <xf numFmtId="0" fontId="0" fillId="72" borderId="93" xfId="0" applyFill="1" applyBorder="1"/>
    <xf numFmtId="4" fontId="0" fillId="72" borderId="93" xfId="0" applyNumberFormat="1" applyFill="1" applyBorder="1"/>
    <xf numFmtId="0" fontId="97" fillId="73" borderId="0" xfId="0" applyFont="1" applyFill="1" applyAlignment="1">
      <alignment horizontal="center"/>
    </xf>
    <xf numFmtId="0" fontId="97" fillId="74" borderId="0" xfId="0" applyFont="1" applyFill="1" applyAlignment="1">
      <alignment horizontal="center"/>
    </xf>
    <xf numFmtId="0" fontId="97" fillId="75" borderId="0" xfId="0" applyFont="1" applyFill="1" applyAlignment="1">
      <alignment horizontal="center"/>
    </xf>
    <xf numFmtId="0" fontId="0" fillId="72" borderId="0" xfId="0" applyFill="1"/>
    <xf numFmtId="0" fontId="2" fillId="61" borderId="0" xfId="172" applyFont="1" applyFill="1" applyAlignment="1">
      <alignment vertical="center"/>
    </xf>
    <xf numFmtId="0" fontId="8" fillId="0" borderId="0" xfId="0" applyFont="1" applyAlignment="1">
      <alignment horizontal="center"/>
    </xf>
    <xf numFmtId="0" fontId="2" fillId="0" borderId="17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14" fontId="3" fillId="0" borderId="17" xfId="0" applyNumberFormat="1" applyFont="1" applyBorder="1" applyAlignment="1">
      <alignment horizontal="center" vertical="center" wrapText="1"/>
    </xf>
    <xf numFmtId="0" fontId="98" fillId="0" borderId="0" xfId="0" applyFont="1" applyAlignment="1">
      <alignment wrapText="1"/>
    </xf>
    <xf numFmtId="0" fontId="98" fillId="0" borderId="0" xfId="0" applyFont="1"/>
    <xf numFmtId="4" fontId="98" fillId="0" borderId="0" xfId="0" applyNumberFormat="1" applyFont="1"/>
    <xf numFmtId="0" fontId="97" fillId="0" borderId="0" xfId="0" applyFont="1" applyAlignment="1">
      <alignment wrapText="1"/>
    </xf>
    <xf numFmtId="0" fontId="97" fillId="0" borderId="0" xfId="0" applyFont="1"/>
    <xf numFmtId="0" fontId="97" fillId="0" borderId="0" xfId="0" applyFont="1" applyAlignment="1">
      <alignment horizontal="right" wrapText="1"/>
    </xf>
    <xf numFmtId="4" fontId="97" fillId="0" borderId="0" xfId="0" applyNumberFormat="1" applyFont="1"/>
    <xf numFmtId="0" fontId="97" fillId="0" borderId="0" xfId="0" applyFont="1" applyAlignment="1">
      <alignment horizontal="right"/>
    </xf>
    <xf numFmtId="4" fontId="97" fillId="0" borderId="0" xfId="0" applyNumberFormat="1" applyFont="1" applyAlignment="1">
      <alignment wrapText="1"/>
    </xf>
    <xf numFmtId="4" fontId="99" fillId="0" borderId="0" xfId="0" applyNumberFormat="1" applyFont="1"/>
    <xf numFmtId="0" fontId="0" fillId="76" borderId="0" xfId="0" applyFill="1" applyAlignment="1">
      <alignment wrapText="1"/>
    </xf>
    <xf numFmtId="0" fontId="98" fillId="76" borderId="0" xfId="0" applyFont="1" applyFill="1"/>
    <xf numFmtId="0" fontId="98" fillId="76" borderId="0" xfId="0" applyFont="1" applyFill="1" applyAlignment="1">
      <alignment wrapText="1"/>
    </xf>
    <xf numFmtId="4" fontId="98" fillId="76" borderId="0" xfId="0" applyNumberFormat="1" applyFont="1" applyFill="1"/>
    <xf numFmtId="0" fontId="97" fillId="76" borderId="0" xfId="0" applyFont="1" applyFill="1" applyAlignment="1">
      <alignment wrapText="1"/>
    </xf>
    <xf numFmtId="0" fontId="99" fillId="76" borderId="0" xfId="0" applyFont="1" applyFill="1"/>
    <xf numFmtId="0" fontId="99" fillId="76" borderId="0" xfId="0" applyFont="1" applyFill="1" applyAlignment="1">
      <alignment wrapText="1"/>
    </xf>
    <xf numFmtId="4" fontId="99" fillId="76" borderId="0" xfId="0" applyNumberFormat="1" applyFont="1" applyFill="1"/>
    <xf numFmtId="0" fontId="78" fillId="0" borderId="0" xfId="168"/>
    <xf numFmtId="0" fontId="99" fillId="0" borderId="0" xfId="168" applyFont="1"/>
    <xf numFmtId="4" fontId="99" fillId="0" borderId="0" xfId="168" applyNumberFormat="1" applyFont="1"/>
    <xf numFmtId="10" fontId="78" fillId="0" borderId="0" xfId="168" applyNumberFormat="1"/>
    <xf numFmtId="0" fontId="78" fillId="0" borderId="0" xfId="168" applyAlignment="1">
      <alignment wrapText="1"/>
    </xf>
    <xf numFmtId="0" fontId="78" fillId="77" borderId="0" xfId="168" applyFill="1"/>
    <xf numFmtId="4" fontId="78" fillId="77" borderId="0" xfId="168" applyNumberFormat="1" applyFill="1"/>
    <xf numFmtId="4" fontId="78" fillId="0" borderId="0" xfId="168" applyNumberFormat="1"/>
    <xf numFmtId="10" fontId="78" fillId="77" borderId="0" xfId="168" applyNumberFormat="1" applyFill="1"/>
    <xf numFmtId="0" fontId="78" fillId="77" borderId="0" xfId="168" applyFill="1" applyAlignment="1">
      <alignment wrapText="1"/>
    </xf>
    <xf numFmtId="0" fontId="5" fillId="61" borderId="17" xfId="0" applyFont="1" applyFill="1" applyBorder="1" applyAlignment="1">
      <alignment horizontal="right" vertical="center" wrapText="1"/>
    </xf>
    <xf numFmtId="4" fontId="97" fillId="77" borderId="0" xfId="168" applyNumberFormat="1" applyFont="1" applyFill="1"/>
    <xf numFmtId="0" fontId="97" fillId="77" borderId="0" xfId="168" applyFont="1" applyFill="1"/>
    <xf numFmtId="0" fontId="27" fillId="61" borderId="0" xfId="0" applyFont="1" applyFill="1"/>
    <xf numFmtId="0" fontId="2" fillId="61" borderId="0" xfId="188" applyFont="1" applyFill="1"/>
    <xf numFmtId="0" fontId="78" fillId="78" borderId="0" xfId="168" applyFill="1"/>
    <xf numFmtId="0" fontId="78" fillId="78" borderId="0" xfId="168" applyFill="1" applyAlignment="1">
      <alignment wrapText="1"/>
    </xf>
    <xf numFmtId="4" fontId="78" fillId="78" borderId="0" xfId="168" applyNumberFormat="1" applyFill="1"/>
    <xf numFmtId="10" fontId="78" fillId="78" borderId="0" xfId="168" applyNumberFormat="1" applyFill="1"/>
    <xf numFmtId="0" fontId="78" fillId="61" borderId="0" xfId="168" applyFill="1"/>
    <xf numFmtId="0" fontId="78" fillId="61" borderId="0" xfId="168" applyFill="1" applyAlignment="1">
      <alignment wrapText="1"/>
    </xf>
    <xf numFmtId="4" fontId="78" fillId="61" borderId="0" xfId="168" applyNumberFormat="1" applyFill="1"/>
    <xf numFmtId="10" fontId="78" fillId="61" borderId="0" xfId="168" applyNumberFormat="1" applyFill="1"/>
    <xf numFmtId="0" fontId="0" fillId="69" borderId="0" xfId="0" applyFill="1" applyAlignment="1">
      <alignment horizontal="center"/>
    </xf>
    <xf numFmtId="0" fontId="94" fillId="69" borderId="85" xfId="0" applyFont="1" applyFill="1" applyBorder="1" applyAlignment="1">
      <alignment horizontal="center"/>
    </xf>
    <xf numFmtId="0" fontId="94" fillId="69" borderId="89" xfId="0" applyFont="1" applyFill="1" applyBorder="1" applyAlignment="1">
      <alignment horizontal="center"/>
    </xf>
    <xf numFmtId="0" fontId="0" fillId="69" borderId="90" xfId="0" applyFill="1" applyBorder="1" applyAlignment="1">
      <alignment horizontal="center"/>
    </xf>
    <xf numFmtId="0" fontId="0" fillId="72" borderId="0" xfId="0" applyFill="1" applyAlignment="1">
      <alignment horizontal="center"/>
    </xf>
    <xf numFmtId="0" fontId="78" fillId="78" borderId="0" xfId="168" applyFill="1" applyAlignment="1">
      <alignment horizontal="center"/>
    </xf>
    <xf numFmtId="0" fontId="78" fillId="61" borderId="0" xfId="168" applyFill="1" applyAlignment="1">
      <alignment horizontal="center"/>
    </xf>
    <xf numFmtId="0" fontId="78" fillId="0" borderId="0" xfId="168" applyAlignment="1">
      <alignment horizontal="center"/>
    </xf>
    <xf numFmtId="0" fontId="78" fillId="77" borderId="0" xfId="168" applyFill="1" applyAlignment="1">
      <alignment horizontal="center"/>
    </xf>
    <xf numFmtId="0" fontId="79" fillId="0" borderId="0" xfId="169"/>
    <xf numFmtId="0" fontId="79" fillId="77" borderId="0" xfId="169" applyFill="1"/>
    <xf numFmtId="0" fontId="100" fillId="73" borderId="0" xfId="169" applyFont="1" applyFill="1" applyAlignment="1">
      <alignment horizontal="center"/>
    </xf>
    <xf numFmtId="0" fontId="100" fillId="74" borderId="0" xfId="169" applyFont="1" applyFill="1" applyAlignment="1">
      <alignment horizontal="center"/>
    </xf>
    <xf numFmtId="0" fontId="100" fillId="75" borderId="0" xfId="169" applyFont="1" applyFill="1" applyAlignment="1">
      <alignment horizontal="center"/>
    </xf>
    <xf numFmtId="0" fontId="101" fillId="0" borderId="0" xfId="169" applyFont="1"/>
    <xf numFmtId="4" fontId="79" fillId="77" borderId="0" xfId="169" applyNumberFormat="1" applyFill="1"/>
    <xf numFmtId="4" fontId="79" fillId="0" borderId="0" xfId="169" applyNumberFormat="1"/>
    <xf numFmtId="4" fontId="101" fillId="0" borderId="0" xfId="169" applyNumberFormat="1" applyFont="1"/>
    <xf numFmtId="10" fontId="79" fillId="77" borderId="0" xfId="169" applyNumberFormat="1" applyFill="1"/>
    <xf numFmtId="10" fontId="79" fillId="0" borderId="0" xfId="169" applyNumberFormat="1"/>
    <xf numFmtId="0" fontId="79" fillId="77" borderId="0" xfId="169" applyFill="1" applyAlignment="1">
      <alignment wrapText="1"/>
    </xf>
    <xf numFmtId="0" fontId="79" fillId="0" borderId="0" xfId="169" applyAlignment="1">
      <alignment wrapText="1"/>
    </xf>
    <xf numFmtId="4" fontId="97" fillId="0" borderId="0" xfId="169" applyNumberFormat="1" applyFont="1"/>
    <xf numFmtId="4" fontId="0" fillId="0" borderId="0" xfId="0" applyNumberFormat="1" applyAlignment="1">
      <alignment wrapText="1"/>
    </xf>
    <xf numFmtId="0" fontId="99" fillId="76" borderId="0" xfId="0" applyFont="1" applyFill="1" applyAlignment="1">
      <alignment horizontal="right"/>
    </xf>
    <xf numFmtId="0" fontId="21" fillId="0" borderId="39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0" borderId="42" xfId="0" applyFont="1" applyBorder="1" applyAlignment="1">
      <alignment horizontal="center"/>
    </xf>
    <xf numFmtId="0" fontId="21" fillId="0" borderId="70" xfId="0" applyFont="1" applyBorder="1" applyAlignment="1">
      <alignment horizontal="center"/>
    </xf>
    <xf numFmtId="0" fontId="21" fillId="0" borderId="71" xfId="0" applyFont="1" applyBorder="1" applyAlignment="1">
      <alignment horizontal="center"/>
    </xf>
    <xf numFmtId="0" fontId="21" fillId="0" borderId="72" xfId="0" applyFont="1" applyBorder="1" applyAlignment="1">
      <alignment horizontal="center"/>
    </xf>
    <xf numFmtId="0" fontId="22" fillId="0" borderId="44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17" fillId="0" borderId="73" xfId="0" applyFont="1" applyBorder="1" applyAlignment="1">
      <alignment horizontal="center" wrapText="1"/>
    </xf>
    <xf numFmtId="0" fontId="17" fillId="0" borderId="24" xfId="0" applyFont="1" applyBorder="1" applyAlignment="1">
      <alignment horizontal="center" wrapText="1"/>
    </xf>
    <xf numFmtId="0" fontId="21" fillId="0" borderId="74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17" fillId="0" borderId="73" xfId="0" applyFont="1" applyBorder="1" applyAlignment="1">
      <alignment horizontal="left"/>
    </xf>
    <xf numFmtId="0" fontId="17" fillId="0" borderId="24" xfId="0" applyFont="1" applyBorder="1" applyAlignment="1">
      <alignment horizontal="left"/>
    </xf>
    <xf numFmtId="0" fontId="17" fillId="0" borderId="73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20" fillId="0" borderId="75" xfId="0" applyFont="1" applyBorder="1" applyAlignment="1">
      <alignment horizontal="left"/>
    </xf>
    <xf numFmtId="0" fontId="20" fillId="0" borderId="46" xfId="0" applyFont="1" applyBorder="1" applyAlignment="1">
      <alignment horizontal="left"/>
    </xf>
    <xf numFmtId="0" fontId="15" fillId="0" borderId="54" xfId="0" applyFont="1" applyBorder="1" applyAlignment="1">
      <alignment horizontal="center"/>
    </xf>
    <xf numFmtId="0" fontId="15" fillId="0" borderId="56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59" fillId="0" borderId="0" xfId="0" applyFont="1" applyAlignment="1">
      <alignment horizontal="center"/>
    </xf>
    <xf numFmtId="0" fontId="6" fillId="0" borderId="57" xfId="0" applyFont="1" applyBorder="1" applyAlignment="1">
      <alignment horizontal="left"/>
    </xf>
    <xf numFmtId="0" fontId="6" fillId="0" borderId="28" xfId="0" quotePrefix="1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0" xfId="0" quotePrefix="1" applyFont="1" applyAlignment="1">
      <alignment horizontal="left"/>
    </xf>
    <xf numFmtId="0" fontId="6" fillId="0" borderId="43" xfId="0" applyFont="1" applyBorder="1" applyAlignment="1">
      <alignment horizontal="left"/>
    </xf>
    <xf numFmtId="0" fontId="6" fillId="0" borderId="61" xfId="0" quotePrefix="1" applyFont="1" applyBorder="1" applyAlignment="1">
      <alignment horizontal="left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59" fillId="61" borderId="0" xfId="172" applyFont="1" applyFill="1" applyAlignment="1">
      <alignment horizontal="center" vertical="center"/>
    </xf>
    <xf numFmtId="0" fontId="59" fillId="61" borderId="0" xfId="188" applyFont="1" applyFill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1" fillId="65" borderId="23" xfId="0" applyFont="1" applyFill="1" applyBorder="1" applyAlignment="1">
      <alignment horizontal="center" vertical="center" wrapText="1"/>
    </xf>
    <xf numFmtId="0" fontId="91" fillId="65" borderId="25" xfId="0" applyFont="1" applyFill="1" applyBorder="1" applyAlignment="1">
      <alignment horizontal="center" vertical="center" wrapText="1"/>
    </xf>
    <xf numFmtId="0" fontId="91" fillId="65" borderId="24" xfId="0" applyFont="1" applyFill="1" applyBorder="1" applyAlignment="1">
      <alignment horizontal="center" vertical="center" wrapText="1"/>
    </xf>
    <xf numFmtId="0" fontId="92" fillId="66" borderId="23" xfId="0" applyFont="1" applyFill="1" applyBorder="1" applyAlignment="1">
      <alignment horizontal="center" vertical="center" wrapText="1"/>
    </xf>
    <xf numFmtId="0" fontId="92" fillId="66" borderId="25" xfId="0" applyFont="1" applyFill="1" applyBorder="1" applyAlignment="1">
      <alignment horizontal="center" vertical="center" wrapText="1"/>
    </xf>
    <xf numFmtId="0" fontId="92" fillId="66" borderId="24" xfId="0" applyFont="1" applyFill="1" applyBorder="1" applyAlignment="1">
      <alignment horizontal="center" vertical="center" wrapText="1"/>
    </xf>
    <xf numFmtId="0" fontId="90" fillId="64" borderId="23" xfId="0" applyFont="1" applyFill="1" applyBorder="1" applyAlignment="1">
      <alignment horizontal="right" vertical="center" wrapText="1"/>
    </xf>
    <xf numFmtId="0" fontId="90" fillId="64" borderId="25" xfId="0" applyFont="1" applyFill="1" applyBorder="1" applyAlignment="1">
      <alignment horizontal="right" vertical="center" wrapText="1"/>
    </xf>
    <xf numFmtId="0" fontId="90" fillId="64" borderId="24" xfId="0" applyFont="1" applyFill="1" applyBorder="1" applyAlignment="1">
      <alignment horizontal="right" vertical="center" wrapText="1"/>
    </xf>
    <xf numFmtId="0" fontId="91" fillId="61" borderId="23" xfId="0" applyFont="1" applyFill="1" applyBorder="1" applyAlignment="1">
      <alignment horizontal="center" vertical="center" wrapText="1"/>
    </xf>
    <xf numFmtId="0" fontId="91" fillId="61" borderId="25" xfId="0" applyFont="1" applyFill="1" applyBorder="1" applyAlignment="1">
      <alignment horizontal="center" vertical="center" wrapText="1"/>
    </xf>
    <xf numFmtId="0" fontId="91" fillId="61" borderId="24" xfId="0" applyFont="1" applyFill="1" applyBorder="1" applyAlignment="1">
      <alignment horizontal="center" vertical="center" wrapText="1"/>
    </xf>
    <xf numFmtId="0" fontId="91" fillId="79" borderId="23" xfId="0" applyFont="1" applyFill="1" applyBorder="1" applyAlignment="1">
      <alignment horizontal="center" vertical="center" wrapText="1"/>
    </xf>
    <xf numFmtId="0" fontId="91" fillId="79" borderId="25" xfId="0" applyFont="1" applyFill="1" applyBorder="1" applyAlignment="1">
      <alignment horizontal="center" vertical="center" wrapText="1"/>
    </xf>
    <xf numFmtId="0" fontId="91" fillId="79" borderId="24" xfId="0" applyFont="1" applyFill="1" applyBorder="1" applyAlignment="1">
      <alignment horizontal="center" vertical="center" wrapText="1"/>
    </xf>
    <xf numFmtId="0" fontId="91" fillId="79" borderId="23" xfId="0" applyFont="1" applyFill="1" applyBorder="1" applyAlignment="1">
      <alignment horizontal="left" vertical="center" wrapText="1"/>
    </xf>
    <xf numFmtId="0" fontId="91" fillId="79" borderId="25" xfId="0" applyFont="1" applyFill="1" applyBorder="1" applyAlignment="1">
      <alignment horizontal="left" vertical="center" wrapText="1"/>
    </xf>
    <xf numFmtId="0" fontId="91" fillId="79" borderId="24" xfId="0" applyFont="1" applyFill="1" applyBorder="1" applyAlignment="1">
      <alignment horizontal="left" vertical="center" wrapText="1"/>
    </xf>
    <xf numFmtId="0" fontId="90" fillId="61" borderId="23" xfId="0" applyFont="1" applyFill="1" applyBorder="1" applyAlignment="1">
      <alignment horizontal="right" vertical="center" wrapText="1"/>
    </xf>
    <xf numFmtId="0" fontId="90" fillId="61" borderId="25" xfId="0" applyFont="1" applyFill="1" applyBorder="1" applyAlignment="1">
      <alignment horizontal="right" vertical="center" wrapText="1"/>
    </xf>
    <xf numFmtId="0" fontId="90" fillId="61" borderId="24" xfId="0" applyFont="1" applyFill="1" applyBorder="1" applyAlignment="1">
      <alignment horizontal="right" vertical="center" wrapText="1"/>
    </xf>
    <xf numFmtId="0" fontId="61" fillId="63" borderId="0" xfId="0" applyFont="1" applyFill="1" applyAlignment="1">
      <alignment horizontal="center" wrapText="1"/>
    </xf>
    <xf numFmtId="0" fontId="60" fillId="0" borderId="0" xfId="0" applyFont="1" applyAlignment="1">
      <alignment horizontal="center" vertical="center"/>
    </xf>
    <xf numFmtId="0" fontId="61" fillId="63" borderId="16" xfId="0" applyFont="1" applyFill="1" applyBorder="1" applyAlignment="1">
      <alignment horizontal="justify" wrapText="1"/>
    </xf>
    <xf numFmtId="0" fontId="62" fillId="63" borderId="23" xfId="0" applyFont="1" applyFill="1" applyBorder="1" applyAlignment="1">
      <alignment horizontal="center" vertical="center" wrapText="1"/>
    </xf>
    <xf numFmtId="0" fontId="62" fillId="63" borderId="25" xfId="0" applyFont="1" applyFill="1" applyBorder="1" applyAlignment="1">
      <alignment horizontal="center" vertical="center" wrapText="1"/>
    </xf>
    <xf numFmtId="0" fontId="63" fillId="63" borderId="25" xfId="0" applyFont="1" applyFill="1" applyBorder="1" applyAlignment="1">
      <alignment horizontal="left" vertical="center" wrapText="1"/>
    </xf>
    <xf numFmtId="0" fontId="63" fillId="63" borderId="24" xfId="0" applyFont="1" applyFill="1" applyBorder="1" applyAlignment="1">
      <alignment horizontal="left" vertical="center" wrapText="1"/>
    </xf>
    <xf numFmtId="0" fontId="102" fillId="69" borderId="0" xfId="0" applyFont="1" applyFill="1" applyAlignment="1">
      <alignment horizontal="left" vertical="center" wrapText="1"/>
    </xf>
    <xf numFmtId="0" fontId="102" fillId="69" borderId="88" xfId="0" applyFont="1" applyFill="1" applyBorder="1" applyAlignment="1">
      <alignment horizontal="left" vertical="center" wrapText="1"/>
    </xf>
    <xf numFmtId="0" fontId="99" fillId="0" borderId="0" xfId="0" applyFont="1" applyAlignment="1">
      <alignment horizontal="center" wrapText="1"/>
    </xf>
    <xf numFmtId="0" fontId="1" fillId="69" borderId="89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23" xfId="170" applyBorder="1" applyAlignment="1">
      <alignment horizontal="left"/>
    </xf>
    <xf numFmtId="0" fontId="3" fillId="0" borderId="25" xfId="170" applyBorder="1" applyAlignment="1">
      <alignment horizontal="left"/>
    </xf>
    <xf numFmtId="0" fontId="3" fillId="0" borderId="24" xfId="170" applyBorder="1" applyAlignment="1">
      <alignment horizontal="left"/>
    </xf>
    <xf numFmtId="10" fontId="0" fillId="0" borderId="12" xfId="198" applyNumberFormat="1" applyFont="1" applyBorder="1" applyAlignment="1">
      <alignment horizontal="center" vertical="center"/>
    </xf>
    <xf numFmtId="10" fontId="0" fillId="0" borderId="13" xfId="198" applyNumberFormat="1" applyFont="1" applyBorder="1" applyAlignment="1">
      <alignment horizontal="center" vertical="center"/>
    </xf>
    <xf numFmtId="10" fontId="0" fillId="0" borderId="14" xfId="198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4" fontId="0" fillId="0" borderId="12" xfId="0" applyNumberFormat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44" fontId="0" fillId="0" borderId="14" xfId="0" applyNumberForma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61" fillId="63" borderId="0" xfId="0" applyFont="1" applyFill="1" applyAlignment="1">
      <alignment horizontal="center" vertical="center" wrapText="1"/>
    </xf>
    <xf numFmtId="0" fontId="61" fillId="63" borderId="0" xfId="0" applyFont="1" applyFill="1" applyAlignment="1">
      <alignment horizontal="justify" vertical="center" wrapText="1"/>
    </xf>
    <xf numFmtId="0" fontId="66" fillId="63" borderId="16" xfId="0" applyFont="1" applyFill="1" applyBorder="1" applyAlignment="1">
      <alignment horizontal="center" vertical="center" wrapText="1"/>
    </xf>
    <xf numFmtId="0" fontId="88" fillId="65" borderId="12" xfId="0" applyFont="1" applyFill="1" applyBorder="1" applyAlignment="1">
      <alignment horizontal="center" vertical="center"/>
    </xf>
    <xf numFmtId="0" fontId="88" fillId="65" borderId="14" xfId="0" applyFont="1" applyFill="1" applyBorder="1" applyAlignment="1">
      <alignment horizontal="center" vertical="center"/>
    </xf>
    <xf numFmtId="0" fontId="2" fillId="24" borderId="55" xfId="173" applyFont="1" applyFill="1" applyBorder="1" applyAlignment="1">
      <alignment horizontal="center"/>
    </xf>
    <xf numFmtId="0" fontId="3" fillId="61" borderId="0" xfId="173" applyFill="1" applyAlignment="1">
      <alignment horizontal="left"/>
    </xf>
    <xf numFmtId="0" fontId="3" fillId="26" borderId="28" xfId="173" applyFill="1" applyBorder="1" applyAlignment="1">
      <alignment horizontal="left"/>
    </xf>
    <xf numFmtId="0" fontId="3" fillId="61" borderId="0" xfId="180" applyFont="1" applyFill="1" applyAlignment="1">
      <alignment horizontal="left"/>
    </xf>
    <xf numFmtId="0" fontId="2" fillId="26" borderId="55" xfId="173" applyFont="1" applyFill="1" applyBorder="1" applyAlignment="1">
      <alignment horizontal="left" vertical="top" wrapText="1"/>
    </xf>
    <xf numFmtId="0" fontId="2" fillId="26" borderId="56" xfId="173" applyFont="1" applyFill="1" applyBorder="1" applyAlignment="1">
      <alignment horizontal="left" vertical="top" wrapText="1"/>
    </xf>
    <xf numFmtId="0" fontId="3" fillId="26" borderId="61" xfId="173" applyFill="1" applyBorder="1" applyAlignment="1">
      <alignment horizontal="left" wrapText="1"/>
    </xf>
    <xf numFmtId="0" fontId="3" fillId="26" borderId="63" xfId="173" applyFill="1" applyBorder="1" applyAlignment="1">
      <alignment horizontal="left" wrapText="1"/>
    </xf>
    <xf numFmtId="0" fontId="3" fillId="26" borderId="61" xfId="173" applyFill="1" applyBorder="1" applyAlignment="1">
      <alignment horizontal="left"/>
    </xf>
    <xf numFmtId="0" fontId="2" fillId="26" borderId="29" xfId="173" applyFont="1" applyFill="1" applyBorder="1" applyAlignment="1">
      <alignment horizontal="center"/>
    </xf>
    <xf numFmtId="0" fontId="2" fillId="61" borderId="0" xfId="173" applyFont="1" applyFill="1" applyAlignment="1">
      <alignment horizontal="center"/>
    </xf>
    <xf numFmtId="0" fontId="3" fillId="61" borderId="0" xfId="172" applyFill="1" applyAlignment="1">
      <alignment horizontal="left" wrapText="1"/>
    </xf>
    <xf numFmtId="0" fontId="5" fillId="61" borderId="0" xfId="172" applyFont="1" applyFill="1" applyAlignment="1">
      <alignment horizontal="left" vertical="center" wrapText="1"/>
    </xf>
    <xf numFmtId="0" fontId="0" fillId="0" borderId="0" xfId="0" applyAlignment="1">
      <alignment horizontal="justify" wrapText="1"/>
    </xf>
    <xf numFmtId="0" fontId="8" fillId="61" borderId="0" xfId="0" applyFont="1" applyFill="1" applyAlignment="1">
      <alignment horizontal="right" vertical="center"/>
    </xf>
    <xf numFmtId="10" fontId="8" fillId="61" borderId="0" xfId="199" applyNumberFormat="1" applyFont="1" applyFill="1" applyAlignment="1">
      <alignment horizontal="center" vertical="center"/>
    </xf>
    <xf numFmtId="0" fontId="28" fillId="61" borderId="0" xfId="0" applyFont="1" applyFill="1" applyAlignment="1">
      <alignment horizontal="right" vertical="center"/>
    </xf>
    <xf numFmtId="0" fontId="28" fillId="61" borderId="16" xfId="0" applyFont="1" applyFill="1" applyBorder="1" applyAlignment="1">
      <alignment horizontal="center"/>
    </xf>
    <xf numFmtId="0" fontId="28" fillId="61" borderId="16" xfId="0" quotePrefix="1" applyFont="1" applyFill="1" applyBorder="1" applyAlignment="1">
      <alignment horizontal="center"/>
    </xf>
    <xf numFmtId="0" fontId="5" fillId="61" borderId="20" xfId="0" applyFont="1" applyFill="1" applyBorder="1" applyAlignment="1">
      <alignment horizontal="center"/>
    </xf>
    <xf numFmtId="0" fontId="5" fillId="61" borderId="20" xfId="0" quotePrefix="1" applyFont="1" applyFill="1" applyBorder="1" applyAlignment="1">
      <alignment horizontal="center"/>
    </xf>
    <xf numFmtId="0" fontId="0" fillId="61" borderId="0" xfId="0" quotePrefix="1" applyFill="1" applyAlignment="1">
      <alignment horizontal="left" vertical="center"/>
    </xf>
    <xf numFmtId="0" fontId="28" fillId="61" borderId="20" xfId="0" applyFont="1" applyFill="1" applyBorder="1" applyAlignment="1">
      <alignment horizontal="center"/>
    </xf>
    <xf numFmtId="0" fontId="28" fillId="61" borderId="20" xfId="0" quotePrefix="1" applyFont="1" applyFill="1" applyBorder="1" applyAlignment="1">
      <alignment horizontal="center"/>
    </xf>
    <xf numFmtId="0" fontId="46" fillId="61" borderId="0" xfId="0" applyFont="1" applyFill="1" applyAlignment="1">
      <alignment horizontal="center"/>
    </xf>
    <xf numFmtId="0" fontId="5" fillId="61" borderId="16" xfId="0" applyFont="1" applyFill="1" applyBorder="1" applyAlignment="1">
      <alignment horizontal="center"/>
    </xf>
    <xf numFmtId="0" fontId="5" fillId="61" borderId="16" xfId="0" quotePrefix="1" applyFont="1" applyFill="1" applyBorder="1" applyAlignment="1">
      <alignment horizontal="center"/>
    </xf>
    <xf numFmtId="0" fontId="6" fillId="61" borderId="17" xfId="0" applyFont="1" applyFill="1" applyBorder="1" applyAlignment="1">
      <alignment horizontal="right" vertical="center" wrapText="1"/>
    </xf>
    <xf numFmtId="0" fontId="6" fillId="61" borderId="23" xfId="0" applyFont="1" applyFill="1" applyBorder="1" applyAlignment="1">
      <alignment horizontal="right" vertical="center" wrapText="1"/>
    </xf>
    <xf numFmtId="0" fontId="6" fillId="61" borderId="25" xfId="0" applyFont="1" applyFill="1" applyBorder="1" applyAlignment="1">
      <alignment horizontal="right" vertical="center" wrapText="1"/>
    </xf>
    <xf numFmtId="0" fontId="6" fillId="61" borderId="24" xfId="0" applyFont="1" applyFill="1" applyBorder="1" applyAlignment="1">
      <alignment horizontal="right" vertical="center" wrapText="1"/>
    </xf>
    <xf numFmtId="0" fontId="0" fillId="0" borderId="2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18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58" fillId="27" borderId="12" xfId="0" applyFont="1" applyFill="1" applyBorder="1" applyAlignment="1">
      <alignment horizontal="center" vertical="center"/>
    </xf>
    <xf numFmtId="0" fontId="58" fillId="27" borderId="14" xfId="0" applyFont="1" applyFill="1" applyBorder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2" fontId="58" fillId="27" borderId="12" xfId="0" applyNumberFormat="1" applyFont="1" applyFill="1" applyBorder="1" applyAlignment="1">
      <alignment horizontal="center" vertical="center"/>
    </xf>
    <xf numFmtId="2" fontId="58" fillId="27" borderId="14" xfId="0" applyNumberFormat="1" applyFont="1" applyFill="1" applyBorder="1" applyAlignment="1">
      <alignment horizontal="center" vertical="center"/>
    </xf>
    <xf numFmtId="0" fontId="59" fillId="0" borderId="18" xfId="0" applyFont="1" applyBorder="1" applyAlignment="1">
      <alignment horizontal="center"/>
    </xf>
    <xf numFmtId="0" fontId="59" fillId="0" borderId="1" xfId="0" applyFont="1" applyBorder="1" applyAlignment="1">
      <alignment horizontal="center"/>
    </xf>
    <xf numFmtId="0" fontId="46" fillId="0" borderId="23" xfId="0" applyFont="1" applyBorder="1" applyAlignment="1">
      <alignment horizontal="center"/>
    </xf>
    <xf numFmtId="0" fontId="46" fillId="0" borderId="25" xfId="0" applyFont="1" applyBorder="1" applyAlignment="1">
      <alignment horizontal="center"/>
    </xf>
    <xf numFmtId="0" fontId="46" fillId="0" borderId="24" xfId="0" applyFont="1" applyBorder="1" applyAlignment="1">
      <alignment horizontal="center"/>
    </xf>
    <xf numFmtId="2" fontId="58" fillId="67" borderId="12" xfId="244" applyNumberFormat="1" applyFont="1" applyFill="1" applyBorder="1" applyAlignment="1">
      <alignment horizontal="center" vertical="center"/>
    </xf>
    <xf numFmtId="2" fontId="58" fillId="67" borderId="14" xfId="244" applyNumberFormat="1" applyFont="1" applyFill="1" applyBorder="1" applyAlignment="1">
      <alignment horizontal="center" vertical="center"/>
    </xf>
    <xf numFmtId="0" fontId="46" fillId="0" borderId="17" xfId="0" applyFont="1" applyBorder="1" applyAlignment="1">
      <alignment horizontal="center"/>
    </xf>
    <xf numFmtId="2" fontId="58" fillId="27" borderId="19" xfId="0" applyNumberFormat="1" applyFont="1" applyFill="1" applyBorder="1" applyAlignment="1">
      <alignment horizontal="center" vertical="center"/>
    </xf>
    <xf numFmtId="2" fontId="58" fillId="27" borderId="15" xfId="0" applyNumberFormat="1" applyFont="1" applyFill="1" applyBorder="1" applyAlignment="1">
      <alignment horizontal="center" vertical="center"/>
    </xf>
    <xf numFmtId="0" fontId="0" fillId="72" borderId="93" xfId="0" applyFill="1" applyBorder="1" applyAlignment="1">
      <alignment horizontal="center"/>
    </xf>
    <xf numFmtId="0" fontId="0" fillId="72" borderId="93" xfId="0" applyFill="1" applyBorder="1" applyAlignment="1">
      <alignment wrapText="1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0" xfId="0" applyAlignment="1"/>
    <xf numFmtId="0" fontId="102" fillId="69" borderId="0" xfId="0" applyFont="1" applyFill="1" applyAlignment="1"/>
    <xf numFmtId="164" fontId="2" fillId="0" borderId="0" xfId="244" applyFont="1"/>
    <xf numFmtId="43" fontId="2" fillId="0" borderId="20" xfId="0" applyNumberFormat="1" applyFont="1" applyBorder="1"/>
    <xf numFmtId="10" fontId="3" fillId="61" borderId="0" xfId="199" applyNumberFormat="1" applyFont="1" applyFill="1"/>
    <xf numFmtId="169" fontId="3" fillId="61" borderId="0" xfId="199" applyNumberFormat="1" applyFont="1" applyFill="1"/>
    <xf numFmtId="0" fontId="0" fillId="72" borderId="93" xfId="0" applyFill="1" applyBorder="1" applyAlignment="1"/>
    <xf numFmtId="10" fontId="0" fillId="72" borderId="93" xfId="0" applyNumberFormat="1" applyFill="1" applyBorder="1" applyAlignment="1"/>
  </cellXfs>
  <cellStyles count="256">
    <cellStyle name="0,0_x000d__x000a_NA_x000d__x000a_" xfId="1" xr:uid="{9CC79ACC-3D98-4F70-981E-494FE4EAAB38}"/>
    <cellStyle name="20% - Accent1" xfId="2" xr:uid="{C5C99BA9-9207-404D-8B11-C4E3A4182F93}"/>
    <cellStyle name="20% - Accent1 2" xfId="3" xr:uid="{0250F4CA-88AC-44FE-A354-A023A20B14F1}"/>
    <cellStyle name="20% - Accent1 3" xfId="4" xr:uid="{96B2C624-D757-41AB-A082-DD4755B50C0C}"/>
    <cellStyle name="20% - Accent2" xfId="5" xr:uid="{DE5FC9B6-F817-4B93-A9AF-D1C77B340C0F}"/>
    <cellStyle name="20% - Accent2 2" xfId="6" xr:uid="{32A3A616-D3B9-44BB-9B23-1920345DC952}"/>
    <cellStyle name="20% - Accent2 3" xfId="7" xr:uid="{95C5F3DA-5BC7-433A-8FD6-99ABCBEBE989}"/>
    <cellStyle name="20% - Accent3" xfId="8" xr:uid="{D6645B15-4F66-4A22-8F4B-CC8831210086}"/>
    <cellStyle name="20% - Accent3 2" xfId="9" xr:uid="{8BF000CF-9A00-4043-98EF-2CD694865469}"/>
    <cellStyle name="20% - Accent3 3" xfId="10" xr:uid="{6B63B7BF-3469-4911-916B-A7444CF36F75}"/>
    <cellStyle name="20% - Accent4" xfId="11" xr:uid="{7940F743-749D-4044-B961-35B6745175BA}"/>
    <cellStyle name="20% - Accent4 2" xfId="12" xr:uid="{0D05B10F-5495-428F-8306-CF265EE73B6E}"/>
    <cellStyle name="20% - Accent4 3" xfId="13" xr:uid="{B71379D3-5801-4120-B595-F05E8AB2D364}"/>
    <cellStyle name="20% - Accent5" xfId="14" xr:uid="{4FBFF950-DEB2-42D0-85F9-2CCC0DDC903A}"/>
    <cellStyle name="20% - Accent5 2" xfId="15" xr:uid="{9A2692C4-959D-459A-8E58-A94A029E76F7}"/>
    <cellStyle name="20% - Accent5 3" xfId="16" xr:uid="{44A16870-D17B-4572-A546-866ACD533964}"/>
    <cellStyle name="20% - Accent6" xfId="17" xr:uid="{D5939350-7C45-45E4-9D7D-733ACA23F1C2}"/>
    <cellStyle name="20% - Accent6 2" xfId="18" xr:uid="{79AFE311-9F2B-4CEA-9A26-ADC13482C26C}"/>
    <cellStyle name="20% - Accent6 3" xfId="19" xr:uid="{74B8E95D-0566-48BB-A9A2-9AFE786B3DD8}"/>
    <cellStyle name="20% - Ênfase1 2" xfId="20" xr:uid="{70950FEF-D82A-46A4-9BE2-F0F4F8D04399}"/>
    <cellStyle name="20% - Ênfase1 2 2" xfId="21" xr:uid="{F0C5B6A9-C831-43F5-8D6B-AFA9C2061DE9}"/>
    <cellStyle name="20% - Ênfase1 2 3" xfId="22" xr:uid="{25C83366-06B0-4FE2-9085-6A57AEF39EEB}"/>
    <cellStyle name="20% - Ênfase1 2 4" xfId="23" xr:uid="{4591A3BC-735A-4C24-88DB-84051ECF96F8}"/>
    <cellStyle name="20% - Ênfase2 2" xfId="24" xr:uid="{28C307BF-9A20-431D-93F5-55AFA536185F}"/>
    <cellStyle name="20% - Ênfase2 2 2" xfId="25" xr:uid="{F68E9892-66C1-4647-9B4B-BC55B89AAF48}"/>
    <cellStyle name="20% - Ênfase2 2 3" xfId="26" xr:uid="{85103E47-6EFE-4AD1-8618-C28E464EDB02}"/>
    <cellStyle name="20% - Ênfase2 2 4" xfId="27" xr:uid="{005610FA-D4AD-4F42-A2DB-A879EAFC4AEE}"/>
    <cellStyle name="20% - Ênfase3 2" xfId="28" xr:uid="{DD96E316-D5B2-4358-BE23-6190626F194B}"/>
    <cellStyle name="20% - Ênfase3 2 2" xfId="29" xr:uid="{4B228F70-069B-4382-88DF-54D912209AD1}"/>
    <cellStyle name="20% - Ênfase3 2 3" xfId="30" xr:uid="{FE22CB64-B7F5-4B84-A655-E5AB14472AEF}"/>
    <cellStyle name="20% - Ênfase3 2 4" xfId="31" xr:uid="{A006BE59-2393-4332-BBFD-2DC40DAF96A3}"/>
    <cellStyle name="20% - Ênfase4 2" xfId="32" xr:uid="{1624EF16-2F5E-4385-9607-8F6580207759}"/>
    <cellStyle name="20% - Ênfase4 2 2" xfId="33" xr:uid="{2BC850BE-4B04-48B2-A87B-763A025FF855}"/>
    <cellStyle name="20% - Ênfase4 2 3" xfId="34" xr:uid="{75FE8789-3880-430E-BE61-5B5787491F91}"/>
    <cellStyle name="20% - Ênfase4 2 4" xfId="35" xr:uid="{7181152E-DBEF-4D80-8FCC-80078B71F91E}"/>
    <cellStyle name="20% - Ênfase5 2" xfId="36" xr:uid="{41C519DA-9ED8-4C3A-AE8D-CB90E85BC358}"/>
    <cellStyle name="20% - Ênfase5 2 2" xfId="37" xr:uid="{898F16A3-E11E-4EA9-8290-848D52DF248C}"/>
    <cellStyle name="20% - Ênfase5 2 3" xfId="38" xr:uid="{395B7196-8CDC-4E90-BB80-897E40B081A2}"/>
    <cellStyle name="20% - Ênfase5 2 4" xfId="39" xr:uid="{2E973FDC-4625-48D5-86DA-2E562062CDA6}"/>
    <cellStyle name="20% - Ênfase6 2" xfId="40" xr:uid="{A7BAC5C7-019E-41D5-8027-FE4FF85B6026}"/>
    <cellStyle name="20% - Ênfase6 2 2" xfId="41" xr:uid="{C91739FD-F7B2-410F-AB15-18B48F9FB667}"/>
    <cellStyle name="20% - Ênfase6 2 3" xfId="42" xr:uid="{5BDD1784-595B-4471-9121-1BCCE490370D}"/>
    <cellStyle name="20% - Ênfase6 2 4" xfId="43" xr:uid="{7A9E877C-0ED3-42B0-8644-F1ADCBC51701}"/>
    <cellStyle name="3988,43" xfId="44" xr:uid="{3099BA12-A40D-4A6D-A262-F441AA36F3F7}"/>
    <cellStyle name="40% - Accent1" xfId="45" xr:uid="{18A7D4A0-366B-4B5B-BA9D-0A88713C2DAD}"/>
    <cellStyle name="40% - Accent1 2" xfId="46" xr:uid="{F5B0C8FF-B109-4E35-A849-C9BA3B0A6B5E}"/>
    <cellStyle name="40% - Accent1 3" xfId="47" xr:uid="{6829F93A-BB69-40AD-BFBB-48ECA316C791}"/>
    <cellStyle name="40% - Accent2" xfId="48" xr:uid="{E3BAD478-AE8D-4CF8-B349-30A490DE9F24}"/>
    <cellStyle name="40% - Accent2 2" xfId="49" xr:uid="{C09842B7-218B-4C7B-ABE0-C0B99D48B02D}"/>
    <cellStyle name="40% - Accent2 3" xfId="50" xr:uid="{0FEA133B-839B-4A8E-8B98-1C81E6DF6E07}"/>
    <cellStyle name="40% - Accent3" xfId="51" xr:uid="{1BAF87B3-3B12-48CC-89F2-7FF4EBCC1CE5}"/>
    <cellStyle name="40% - Accent3 2" xfId="52" xr:uid="{B5F0E978-244C-482C-8A6D-3B16103BBD77}"/>
    <cellStyle name="40% - Accent3 3" xfId="53" xr:uid="{16D233B6-5ACC-4397-B0FE-55238DA91E68}"/>
    <cellStyle name="40% - Accent4" xfId="54" xr:uid="{26883636-2151-474F-B218-A2B4485D47F8}"/>
    <cellStyle name="40% - Accent4 2" xfId="55" xr:uid="{5EC9EBF0-84D5-4537-B627-00E5985848F2}"/>
    <cellStyle name="40% - Accent4 3" xfId="56" xr:uid="{5306098C-EF41-4630-A3D9-AA5D9C28AD8F}"/>
    <cellStyle name="40% - Accent5" xfId="57" xr:uid="{B67ADE54-4E6E-4DAA-943D-4A2800B58B6B}"/>
    <cellStyle name="40% - Accent5 2" xfId="58" xr:uid="{BA66A20C-FB84-46E8-AF9C-D05AE61E7A2A}"/>
    <cellStyle name="40% - Accent5 3" xfId="59" xr:uid="{95DA1C60-5530-4729-A1F3-1D8EC0EB9E6B}"/>
    <cellStyle name="40% - Accent6" xfId="60" xr:uid="{C75059A5-5A62-4E3E-9A74-CC5A51956F4A}"/>
    <cellStyle name="40% - Accent6 2" xfId="61" xr:uid="{49E2653E-0EE9-46C5-8E13-EF238E5C84B9}"/>
    <cellStyle name="40% - Accent6 3" xfId="62" xr:uid="{1A9E4D74-4DBB-496D-8642-8BBE69446735}"/>
    <cellStyle name="40% - Ênfase1 2" xfId="63" xr:uid="{C962421B-B1CA-42DF-A946-451C80C3FECD}"/>
    <cellStyle name="40% - Ênfase1 2 2" xfId="64" xr:uid="{4397A200-FEAD-42FB-B429-E45ECCF439D3}"/>
    <cellStyle name="40% - Ênfase1 2 3" xfId="65" xr:uid="{11C344EE-DCF7-4EF4-843C-E0185DB90D9C}"/>
    <cellStyle name="40% - Ênfase1 2 4" xfId="66" xr:uid="{A6603A3D-35B7-43E8-B12C-4A00B209A9F5}"/>
    <cellStyle name="40% - Ênfase2 2" xfId="67" xr:uid="{5110B01C-2349-4532-969A-5C9636188C03}"/>
    <cellStyle name="40% - Ênfase2 2 2" xfId="68" xr:uid="{F2587198-B62D-4A69-879A-7755AD6D3056}"/>
    <cellStyle name="40% - Ênfase2 2 3" xfId="69" xr:uid="{1DE1C3B0-D3A5-4F19-A9C1-98B17EE6DBA4}"/>
    <cellStyle name="40% - Ênfase2 2 4" xfId="70" xr:uid="{8A70EDF9-C88F-4452-8ED4-28FD0050E696}"/>
    <cellStyle name="40% - Ênfase3 2" xfId="71" xr:uid="{37CC5364-1097-4A78-B964-18AA0A656AAE}"/>
    <cellStyle name="40% - Ênfase3 2 2" xfId="72" xr:uid="{F5F2A79F-38F0-461C-AA85-A41B356971AD}"/>
    <cellStyle name="40% - Ênfase3 2 3" xfId="73" xr:uid="{4A3F6191-AB5F-409B-B8A8-32B203718C53}"/>
    <cellStyle name="40% - Ênfase3 2 4" xfId="74" xr:uid="{8642F5CD-F1A1-41DF-901E-5557D6F8130F}"/>
    <cellStyle name="40% - Ênfase4 2" xfId="75" xr:uid="{3FA3B271-4BEC-4369-AF7F-3DFBFB19CBDC}"/>
    <cellStyle name="40% - Ênfase4 2 2" xfId="76" xr:uid="{4148A1E8-A512-471F-812C-46580FA24EBE}"/>
    <cellStyle name="40% - Ênfase4 2 3" xfId="77" xr:uid="{57ABA78A-147D-453C-956F-CC67E2839100}"/>
    <cellStyle name="40% - Ênfase4 2 4" xfId="78" xr:uid="{9EBC7229-ACE4-42D0-99C7-A2C1DE0865B3}"/>
    <cellStyle name="40% - Ênfase5 2" xfId="79" xr:uid="{D229E683-1A11-44DC-806F-9F074B106DB3}"/>
    <cellStyle name="40% - Ênfase5 2 2" xfId="80" xr:uid="{95B46037-6E67-4EE6-BE0F-343F53347C07}"/>
    <cellStyle name="40% - Ênfase5 2 3" xfId="81" xr:uid="{AE0B4284-4DA0-4CBE-9E77-74C9F51794B9}"/>
    <cellStyle name="40% - Ênfase5 2 4" xfId="82" xr:uid="{7271AFDF-38B7-444B-B3B0-3280484C7C3E}"/>
    <cellStyle name="40% - Ênfase6 2" xfId="83" xr:uid="{D61A730E-ADDC-4EE5-A15A-C0117396ACAD}"/>
    <cellStyle name="40% - Ênfase6 2 2" xfId="84" xr:uid="{8850F6C5-F5BD-40E9-A360-4379D1FFE5AE}"/>
    <cellStyle name="40% - Ênfase6 2 3" xfId="85" xr:uid="{1C05D78A-FD80-4D2D-BF41-417042434B90}"/>
    <cellStyle name="40% - Ênfase6 2 4" xfId="86" xr:uid="{51E20D15-80BB-410D-8BF4-794FEDEEE78D}"/>
    <cellStyle name="60% - Accent1" xfId="87" xr:uid="{F3C2D860-C229-40CB-91CD-ADF006A97698}"/>
    <cellStyle name="60% - Accent2" xfId="88" xr:uid="{E428B2AA-B396-4C42-A075-508D94542C37}"/>
    <cellStyle name="60% - Accent3" xfId="89" xr:uid="{C4FC00A1-7C8B-4573-8B03-B48BB307A280}"/>
    <cellStyle name="60% - Accent4" xfId="90" xr:uid="{A278572C-FE2A-4FE1-9A97-1B8915994F0B}"/>
    <cellStyle name="60% - Accent5" xfId="91" xr:uid="{9AF37DE9-F245-4479-BB8D-AE04ABECBDCC}"/>
    <cellStyle name="60% - Accent6" xfId="92" xr:uid="{0A5B50CA-984D-456F-ACA3-DC97D04F0B03}"/>
    <cellStyle name="60% - Ênfase1 2" xfId="93" xr:uid="{1F676F4B-4B27-44D7-B1EA-532337FCA4B9}"/>
    <cellStyle name="60% - Ênfase1 2 2" xfId="94" xr:uid="{1A1F9677-3612-4FB3-9A13-A5EED5E684F1}"/>
    <cellStyle name="60% - Ênfase2 2" xfId="95" xr:uid="{F947A078-826E-4379-A282-A36C8DBCAC9D}"/>
    <cellStyle name="60% - Ênfase2 2 2" xfId="96" xr:uid="{34BF2955-76FF-44AF-8659-8A8E5D0B2AC6}"/>
    <cellStyle name="60% - Ênfase3 2" xfId="97" xr:uid="{F17955A0-6614-4187-8CFE-8CB56F44AAB9}"/>
    <cellStyle name="60% - Ênfase3 2 2" xfId="98" xr:uid="{0260D473-163D-4CEC-8D1A-75FFBA508764}"/>
    <cellStyle name="60% - Ênfase4 2" xfId="99" xr:uid="{83639573-0E38-474A-8885-8B2276422D22}"/>
    <cellStyle name="60% - Ênfase4 2 2" xfId="100" xr:uid="{EA3F38BE-E79C-4715-9EF7-6C4FB575753B}"/>
    <cellStyle name="60% - Ênfase5 2" xfId="101" xr:uid="{5D008B54-ACC4-4A51-BCCD-F82D5DEC21FC}"/>
    <cellStyle name="60% - Ênfase5 2 2" xfId="102" xr:uid="{B0F4F2FE-9959-4F56-BB11-C49F99BB71F1}"/>
    <cellStyle name="60% - Ênfase6 2" xfId="103" xr:uid="{5AA9F845-4926-4E8F-8E7D-E58AFB484C1F}"/>
    <cellStyle name="60% - Ênfase6 2 2" xfId="104" xr:uid="{2084F40E-D34D-4BC3-ACA6-2FF5575D0E40}"/>
    <cellStyle name="Accent1" xfId="105" xr:uid="{4F62675A-2640-4D8E-86CF-E60A1C703B58}"/>
    <cellStyle name="Accent2" xfId="106" xr:uid="{C058ECBB-FE90-4181-AB83-B9868E759E17}"/>
    <cellStyle name="Accent3" xfId="107" xr:uid="{FCC655AE-2622-48C6-988F-94B92AEE5038}"/>
    <cellStyle name="Accent4" xfId="108" xr:uid="{B5113141-3D46-409E-88ED-29126F95A37E}"/>
    <cellStyle name="Accent5" xfId="109" xr:uid="{35B71618-F246-4AAE-9439-9C456ACF025E}"/>
    <cellStyle name="Accent6" xfId="110" xr:uid="{98F894F8-FBE9-43F0-B9AD-17BBC6D584F4}"/>
    <cellStyle name="Bad" xfId="111" xr:uid="{FB066693-A5BF-4493-8577-32635392FEC0}"/>
    <cellStyle name="Bom 2" xfId="112" xr:uid="{3C91BB29-8583-4CA1-ABD0-AB3D758E49E2}"/>
    <cellStyle name="Bom 2 2" xfId="113" xr:uid="{072CD65A-838A-4832-ADFB-20CD501A8F1E}"/>
    <cellStyle name="Calculation" xfId="114" xr:uid="{97B45BD2-26E9-4AFD-A16F-B58A84A1B3F5}"/>
    <cellStyle name="Cálculo 2" xfId="115" xr:uid="{8F5F398C-F866-47EF-9D22-8EBDD7DAF392}"/>
    <cellStyle name="Cálculo 2 2" xfId="116" xr:uid="{332311D8-4A57-4CE7-A938-2C313D4A481D}"/>
    <cellStyle name="Célula de Verificação 2" xfId="117" xr:uid="{7903F41D-47F4-47E5-85E9-0135D284104A}"/>
    <cellStyle name="Célula de Verificação 2 2" xfId="118" xr:uid="{473EE57F-A833-4754-996D-755B99D7919E}"/>
    <cellStyle name="Célula Vinculada 2" xfId="119" xr:uid="{C7983E9B-BC2A-4620-A2F4-E9F5F28CB461}"/>
    <cellStyle name="Célula Vinculada 2 2" xfId="120" xr:uid="{31554DD3-3199-4495-AB9A-7CED958D9507}"/>
    <cellStyle name="Comma0" xfId="121" xr:uid="{ED25B048-A031-42E9-8DCF-0C74E23648E1}"/>
    <cellStyle name="Currency0" xfId="122" xr:uid="{395C3D2C-0E72-4B6E-BED9-0BE1DF455335}"/>
    <cellStyle name="Data" xfId="123" xr:uid="{FEBA678D-9118-420C-BAEE-59626AA02262}"/>
    <cellStyle name="Date" xfId="124" xr:uid="{C8E06D03-DF81-4E33-9419-7A099DB6AB50}"/>
    <cellStyle name="Ênfase1 2" xfId="125" xr:uid="{D076C851-A6EF-4618-83D8-124455A47C67}"/>
    <cellStyle name="Ênfase1 2 2" xfId="126" xr:uid="{73C0AC67-0EFF-4469-B9E6-0EBFC07E0AD0}"/>
    <cellStyle name="Ênfase2 2" xfId="127" xr:uid="{EE61339E-92F3-45AF-A22C-3A4D2D28FEB3}"/>
    <cellStyle name="Ênfase2 2 2" xfId="128" xr:uid="{EEC5F3D6-0A02-47D5-A468-644248258717}"/>
    <cellStyle name="Ênfase3 2" xfId="129" xr:uid="{D4B76847-1165-445F-89E2-9998485DF5DF}"/>
    <cellStyle name="Ênfase3 2 2" xfId="130" xr:uid="{8F790390-F0DA-4B4A-B12B-BB07BBB1562E}"/>
    <cellStyle name="Ênfase4 2" xfId="131" xr:uid="{3C81DB30-5C26-48A1-B04B-5F5E2CC69B15}"/>
    <cellStyle name="Ênfase4 2 2" xfId="132" xr:uid="{8D506464-9D33-4824-8EB7-9BBACFC040D1}"/>
    <cellStyle name="Ênfase5 2" xfId="133" xr:uid="{9FB99F68-84A4-4056-BB99-F55482793907}"/>
    <cellStyle name="Ênfase5 2 2" xfId="134" xr:uid="{972CFA66-62C4-4B0F-A779-E81012DE6C09}"/>
    <cellStyle name="Ênfase6 2" xfId="135" xr:uid="{F42D64CB-316D-4780-98C0-1EDC7BFB1641}"/>
    <cellStyle name="Ênfase6 2 2" xfId="136" xr:uid="{184F1581-1779-418F-8054-D960B64F8E0C}"/>
    <cellStyle name="Entrada 2" xfId="137" xr:uid="{E13C792C-7844-4DEB-A8C1-129E28D041C2}"/>
    <cellStyle name="Entrada 2 2" xfId="138" xr:uid="{7711DC64-A8EF-483A-B6A5-C6B28FF902B8}"/>
    <cellStyle name="Euro" xfId="139" xr:uid="{34DF160D-2F3F-4720-BB36-41747B2100C3}"/>
    <cellStyle name="Euro 2" xfId="140" xr:uid="{B1D842CB-70D7-44BE-A471-AAB8EB7A731C}"/>
    <cellStyle name="Explanatory Text" xfId="141" xr:uid="{94ED7DDB-6E43-4EED-887A-0DEB6F015237}"/>
    <cellStyle name="Fixed" xfId="142" xr:uid="{8A982FEB-1084-4765-A557-C3A6510ED548}"/>
    <cellStyle name="Fixo" xfId="143" xr:uid="{338C9B14-6986-4F0B-90AF-FC673D73A4D5}"/>
    <cellStyle name="Heading 1" xfId="144" xr:uid="{9A259545-6AEC-4FE2-B627-F65B0CC37F0A}"/>
    <cellStyle name="Heading 1 2" xfId="145" xr:uid="{EADAC505-FC21-4509-9BF2-AD911E689729}"/>
    <cellStyle name="Heading 2" xfId="146" xr:uid="{DE7ED955-24E3-4619-8FBC-26ECDE242658}"/>
    <cellStyle name="Heading 2 2" xfId="147" xr:uid="{5A3D35BF-77BD-4E8E-9456-4FF8BE460719}"/>
    <cellStyle name="Heading 3" xfId="148" xr:uid="{2FD6DE21-35DF-469D-9E48-D3A4E43AB745}"/>
    <cellStyle name="Heading 4" xfId="149" xr:uid="{CB8DE18B-48CE-434E-848F-9EAD986CE275}"/>
    <cellStyle name="Incorreto 2" xfId="150" xr:uid="{71224CC2-5282-49D9-8D7F-9CF9E609A4E1}"/>
    <cellStyle name="Incorreto 2 2" xfId="151" xr:uid="{E091B39C-0560-4790-A88D-D248EC00F12D}"/>
    <cellStyle name="Indefinido" xfId="152" xr:uid="{A036FFED-B890-4FBA-A95D-95A6CF246F5C}"/>
    <cellStyle name="KalenderDato" xfId="153" xr:uid="{BD1230C3-EECE-4062-9B3A-A9F922655B1E}"/>
    <cellStyle name="Moeda 2" xfId="154" xr:uid="{80E85378-28F9-45BF-9D00-13795470C48E}"/>
    <cellStyle name="Moeda 2 2" xfId="155" xr:uid="{5001500C-0CDD-4168-AEC5-8EA6158C22E6}"/>
    <cellStyle name="Moeda 3" xfId="156" xr:uid="{210259F9-D1B8-4B6A-A748-B6178B50FA0C}"/>
    <cellStyle name="Moeda 3 2" xfId="157" xr:uid="{6E1D67A5-F1E7-447F-A607-DCAD727D58F0}"/>
    <cellStyle name="Moeda 3 3" xfId="158" xr:uid="{1B516CAA-8F14-419E-B0A5-B834387027EE}"/>
    <cellStyle name="Moeda 4" xfId="159" xr:uid="{5FF49B50-B1A7-44A1-ABB7-8D23C290D6F4}"/>
    <cellStyle name="Moeda 5" xfId="160" xr:uid="{DA6D98F3-AE39-4E21-AF4C-B8F32B7FDC56}"/>
    <cellStyle name="Moeda0" xfId="161" xr:uid="{459742B6-530D-44A3-9CF8-C393E3B3C3B0}"/>
    <cellStyle name="Moeda0 2" xfId="162" xr:uid="{5435B4B8-18A7-44B0-9A15-4B88FE5314D7}"/>
    <cellStyle name="Neutra 2" xfId="163" xr:uid="{70FE8418-39C1-4B6D-A95C-7B6074A80C7A}"/>
    <cellStyle name="Neutra 2 2" xfId="164" xr:uid="{2FBF88AB-1A3D-4BBB-AA60-9290FCD9B124}"/>
    <cellStyle name="Neutral" xfId="165" xr:uid="{CFBAF151-9ADF-4D98-8857-C651484BA1B0}"/>
    <cellStyle name="Normal" xfId="0" builtinId="0"/>
    <cellStyle name="Normal 10" xfId="166" xr:uid="{80C61299-F8D6-44E1-B766-785318B070EF}"/>
    <cellStyle name="Normal 11" xfId="167" xr:uid="{AAFCC2EF-B8BD-4554-8203-6AC52AED5AF6}"/>
    <cellStyle name="Normal 12" xfId="168" xr:uid="{3DA369CD-0C0F-477B-B1F5-9467B03E32EF}"/>
    <cellStyle name="Normal 13" xfId="169" xr:uid="{8CE25112-6425-4C51-B428-502759984ADC}"/>
    <cellStyle name="Normal 2" xfId="170" xr:uid="{83FDBC59-9F30-4C58-A9A3-75CD86EF5460}"/>
    <cellStyle name="Normal 2 10" xfId="171" xr:uid="{672C0B1B-68BB-4342-B226-BB9BB9B6AD5D}"/>
    <cellStyle name="Normal 2 2" xfId="172" xr:uid="{07EA6F65-ECAD-4B48-9C18-07A6D97B3B4A}"/>
    <cellStyle name="Normal 2 2 2" xfId="173" xr:uid="{A4101A9B-CA4D-4408-9262-0FC210045B2F}"/>
    <cellStyle name="Normal 2 2 2 2" xfId="174" xr:uid="{8D194FBD-5A99-477D-B84D-9DFEED58A215}"/>
    <cellStyle name="Normal 2 3" xfId="175" xr:uid="{91D5C242-84A4-4327-8BE9-3380F64B7508}"/>
    <cellStyle name="Normal 2_006 BB - Concorrência Registro de Preços - Roteiro 01" xfId="176" xr:uid="{2F8D40FD-7C1C-4CD1-8914-30F5BC688B96}"/>
    <cellStyle name="Normal 3" xfId="177" xr:uid="{DEF24B6D-C64D-4746-8CFB-92369202C08B}"/>
    <cellStyle name="Normal 3 2" xfId="178" xr:uid="{757038BB-587D-4492-95A0-17126ECD4317}"/>
    <cellStyle name="Normal 3 2 2" xfId="179" xr:uid="{B75B28A1-AF67-4C30-A015-A1646C8A5960}"/>
    <cellStyle name="Normal 3 3" xfId="180" xr:uid="{402026DC-20F3-4B68-807D-36AC1E336220}"/>
    <cellStyle name="Normal 4" xfId="181" xr:uid="{2359AC6D-4978-4D18-9FD0-AA1F70904ED7}"/>
    <cellStyle name="Normal 4 2" xfId="182" xr:uid="{6936A65E-5CCB-4695-9A2C-052429054FFB}"/>
    <cellStyle name="Normal 5" xfId="183" xr:uid="{B98F5930-5BF7-4767-B476-96BD353E0127}"/>
    <cellStyle name="Normal 5 2" xfId="184" xr:uid="{ADB4C738-FE63-4C91-BA9A-05BE37A3C395}"/>
    <cellStyle name="Normal 6" xfId="185" xr:uid="{69505307-9B01-45AA-9775-D235D8A398D9}"/>
    <cellStyle name="Normal 6 2" xfId="186" xr:uid="{49C8F963-EDD3-4279-AA2C-432CD5BFA72A}"/>
    <cellStyle name="Normal 7" xfId="187" xr:uid="{B6EC7394-8514-4C1E-BBB4-5AB99A3B5A30}"/>
    <cellStyle name="Normal 7 2" xfId="188" xr:uid="{3DF7F517-E335-45B1-9CDE-A08F87A15151}"/>
    <cellStyle name="Normal 7 3" xfId="189" xr:uid="{DC7DF016-3FBB-49BA-A4EA-E4275B7E7075}"/>
    <cellStyle name="Normal 8" xfId="190" xr:uid="{D0072B2F-BCC9-4D94-9443-91EFF5A5B9F3}"/>
    <cellStyle name="Normal 9" xfId="191" xr:uid="{452DB2C1-3123-421A-950F-027700CCF501}"/>
    <cellStyle name="Normal_Lista de Serviços a executar" xfId="192" xr:uid="{7F3B8018-6127-4180-B0CB-0F110731A3F4}"/>
    <cellStyle name="Nota 2" xfId="193" xr:uid="{614B578B-015B-42CE-8730-696C089681A8}"/>
    <cellStyle name="Nota 2 2" xfId="194" xr:uid="{C94063BC-889A-4056-BE16-5C1D16530E53}"/>
    <cellStyle name="Output" xfId="195" xr:uid="{A67B54A4-981E-4D27-90A4-DBE55CDCC0DE}"/>
    <cellStyle name="Percentual" xfId="196" xr:uid="{8A367D2E-BF95-4CD6-BB2C-8CE80F2E22EC}"/>
    <cellStyle name="Ponto" xfId="197" xr:uid="{C76F87A9-23B4-4C1E-B3C4-A14F5D07C992}"/>
    <cellStyle name="Porcentagem" xfId="198" builtinId="5"/>
    <cellStyle name="Porcentagem 2" xfId="199" xr:uid="{5BE3C46B-9361-4757-8C68-7B340CE16474}"/>
    <cellStyle name="Porcentagem 2 2" xfId="200" xr:uid="{62182A37-A3A9-4EA9-86E7-D3ECEEA46EEE}"/>
    <cellStyle name="Porcentagem 3" xfId="201" xr:uid="{C9B155C6-5AE2-4B0E-991F-CFF5883BC23A}"/>
    <cellStyle name="Porcentagem 3 2" xfId="202" xr:uid="{5D2908D8-0C1C-4229-B809-8EAE5D9B13BF}"/>
    <cellStyle name="Porcentagem 4" xfId="203" xr:uid="{B20850A8-5738-4476-9314-68791024B8E5}"/>
    <cellStyle name="Porcentagem 4 2" xfId="204" xr:uid="{13AD050A-B3B3-4B41-BECE-26DFA9BF3FFD}"/>
    <cellStyle name="Porcentagem 5" xfId="205" xr:uid="{191C88D3-B0F7-4937-B27C-4AB840FC86A2}"/>
    <cellStyle name="Porcentagem 6" xfId="206" xr:uid="{47177C4C-7D3A-4D63-85B0-71F6B5AEDDE6}"/>
    <cellStyle name="Saída 2" xfId="207" xr:uid="{4BAECECD-B997-4DE1-B045-7A4F9DC6C431}"/>
    <cellStyle name="Saída 2 2" xfId="208" xr:uid="{512CD587-C2D7-41E2-AE38-EDDB3E56D913}"/>
    <cellStyle name="Separador de m" xfId="209" xr:uid="{9A34A2A6-833C-4CD1-A2EB-C240AB6A1C84}"/>
    <cellStyle name="Separador de milhares 2" xfId="210" xr:uid="{85FE2A93-F369-4085-ADEC-7D60D6E068CF}"/>
    <cellStyle name="Separador de milhares 2 10" xfId="211" xr:uid="{7E8E4972-4E9D-4796-8687-F8BE8C99CA26}"/>
    <cellStyle name="Separador de milhares 2 2" xfId="212" xr:uid="{EBD09EC4-6E63-47EE-AB85-1C3959157567}"/>
    <cellStyle name="Separador de milhares 2 2 2" xfId="213" xr:uid="{CF93BC31-244A-43F7-90E6-DC4DF3F485CC}"/>
    <cellStyle name="Separador de milhares 2 3" xfId="214" xr:uid="{6D31DCE3-5236-477E-8ABF-4CB79E677A02}"/>
    <cellStyle name="Separador de milhares 2_203 Seduc - Reforma da Escola de Afua" xfId="215" xr:uid="{84533582-6DF5-47BE-A9AC-7AD60A489642}"/>
    <cellStyle name="Separador de milhares 3" xfId="216" xr:uid="{9FB0C905-5D6A-402F-83DF-F67252DA24B6}"/>
    <cellStyle name="Separador de milhares 3 2" xfId="217" xr:uid="{3007C2AD-CBEC-4CEE-97C6-8FBC0360B19A}"/>
    <cellStyle name="Separador de milhares 4" xfId="218" xr:uid="{B076DE4D-18DA-4D68-9EDC-8BED79E923E0}"/>
    <cellStyle name="Separador de milhares 4 2" xfId="219" xr:uid="{F22E6811-7C50-47C5-B2B8-4A19865F481D}"/>
    <cellStyle name="Separador de milhares 5" xfId="220" xr:uid="{A2F95A23-0BB6-4B1C-A894-BB97FB3FB7FD}"/>
    <cellStyle name="SUB" xfId="221" xr:uid="{C4922A1F-F15D-4392-B230-9C5569FEAABD}"/>
    <cellStyle name="Texto de Aviso 2" xfId="222" xr:uid="{CFB021A3-0C44-448C-8C26-B8FEF73BA650}"/>
    <cellStyle name="Texto de Aviso 2 2" xfId="223" xr:uid="{A88745C8-29D5-4E2C-A3A3-2A2DA464D974}"/>
    <cellStyle name="Texto Explicativo 2" xfId="224" xr:uid="{6EFAD172-AAA6-45D5-80C8-08746350512A}"/>
    <cellStyle name="Texto Explicativo 2 2" xfId="225" xr:uid="{8EFB92A5-0CB3-4A91-A0D1-9AB9CB6A82CF}"/>
    <cellStyle name="Title" xfId="226" xr:uid="{288535DF-4CE0-42C8-A42D-BA23E9726FAE}"/>
    <cellStyle name="Título 1 1" xfId="227" xr:uid="{22007ED9-D4FA-43A8-8EBE-ABDA19B625AF}"/>
    <cellStyle name="Título 1 1 1" xfId="228" xr:uid="{4DB15F7B-2907-4439-A5CB-5FCC9828CF90}"/>
    <cellStyle name="Título 1 1 2" xfId="229" xr:uid="{B2C9F61D-19D9-4E89-9F67-7B76D1F59449}"/>
    <cellStyle name="Título 1 2" xfId="230" xr:uid="{283A74C5-9B6D-4229-BAAE-D5C4098F3B1A}"/>
    <cellStyle name="Título 1 2 2" xfId="231" xr:uid="{07AF6934-C0C7-49B7-949F-A11C43017C42}"/>
    <cellStyle name="Título 2 2" xfId="232" xr:uid="{BB24709E-ACB7-4DC3-BD31-B848227CF65F}"/>
    <cellStyle name="Título 2 2 2" xfId="233" xr:uid="{0544BDCB-1FA7-49CD-8D25-42281FB691AA}"/>
    <cellStyle name="Título 3 2" xfId="234" xr:uid="{CFDDDD16-5BCA-474A-80CE-533BEB721434}"/>
    <cellStyle name="Título 3 2 2" xfId="235" xr:uid="{2CAC96E9-2199-4117-A168-0822FF83D44D}"/>
    <cellStyle name="Título 4 2" xfId="236" xr:uid="{4D8EE451-750C-4153-8829-331ADA2A3C74}"/>
    <cellStyle name="Título 4 2 2" xfId="237" xr:uid="{E269E2E2-8C2C-4CB2-902D-4361EDED3F74}"/>
    <cellStyle name="Título 5" xfId="238" xr:uid="{D2FBC7BD-6866-41FB-96E9-556B683BA3C1}"/>
    <cellStyle name="Título 5 2" xfId="239" xr:uid="{CF781D0E-A600-456A-AF3C-FC3655B5578B}"/>
    <cellStyle name="Titulo1" xfId="240" xr:uid="{D35CE5D7-6E0D-4A89-9FED-A801BFD0B9B9}"/>
    <cellStyle name="Titulo2" xfId="241" xr:uid="{42DE7049-24AC-4324-9430-1EBDEC72E50B}"/>
    <cellStyle name="Total 2" xfId="242" xr:uid="{DE6AC2F0-44DC-468E-9232-FBC740BFCD11}"/>
    <cellStyle name="Total 2 2" xfId="243" xr:uid="{9135B997-3184-41DD-99B9-70D85DA9EC73}"/>
    <cellStyle name="Vírgula" xfId="244" builtinId="3"/>
    <cellStyle name="Vírgula 2" xfId="245" xr:uid="{BB34A7BC-2007-4A53-A07E-B6C19F2B035C}"/>
    <cellStyle name="Vírgula 2 2" xfId="246" xr:uid="{B17053A4-3883-42BE-9DF6-D70FEC4E41E6}"/>
    <cellStyle name="Vírgula 2 3" xfId="247" xr:uid="{C301B5FE-F1EF-48E8-B307-793AAE385239}"/>
    <cellStyle name="Vírgula 2 4" xfId="248" xr:uid="{E0A48352-C1F3-4039-95F7-7F0681C9352E}"/>
    <cellStyle name="Vírgula 2 5" xfId="249" xr:uid="{BFFB438B-D34E-42AA-8FE2-3F8C16B793F6}"/>
    <cellStyle name="Vírgula 3" xfId="250" xr:uid="{1B428484-CBAF-4E49-9657-63981BBDC1D3}"/>
    <cellStyle name="Vírgula 3 2" xfId="251" xr:uid="{9D88B896-4079-4C7A-900D-B13A252A171E}"/>
    <cellStyle name="Vírgula 4" xfId="252" xr:uid="{9C1272AC-2C0C-4CAF-BABA-72CE915AE818}"/>
    <cellStyle name="Vírgula 5" xfId="253" xr:uid="{0FEE2578-4AEA-4B32-9E18-906A81BA9D92}"/>
    <cellStyle name="Vírgula0" xfId="254" xr:uid="{EE06BD70-C64D-475A-9141-F6BBD2B58AFC}"/>
    <cellStyle name="Vírgula0 2" xfId="255" xr:uid="{6B4EE09C-3004-40D7-A5D9-2A15EF3F313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0.xml"/><Relationship Id="rId21" Type="http://schemas.openxmlformats.org/officeDocument/2006/relationships/externalLink" Target="externalLinks/externalLink5.xml"/><Relationship Id="rId34" Type="http://schemas.microsoft.com/office/2017/06/relationships/rdRichValue" Target="richData/rdrichvalue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externalLink" Target="externalLinks/externalLink9.xml"/><Relationship Id="rId33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29" Type="http://schemas.openxmlformats.org/officeDocument/2006/relationships/externalLink" Target="externalLinks/externalLink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8.xml"/><Relationship Id="rId32" Type="http://schemas.openxmlformats.org/officeDocument/2006/relationships/sharedStrings" Target="sharedStrings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externalLink" Target="externalLinks/externalLink12.xml"/><Relationship Id="rId36" Type="http://schemas.microsoft.com/office/2017/06/relationships/rdRichValueTypes" Target="richData/rdRichValueTyp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externalLink" Target="externalLinks/externalLink11.xml"/><Relationship Id="rId30" Type="http://schemas.openxmlformats.org/officeDocument/2006/relationships/theme" Target="theme/theme1.xml"/><Relationship Id="rId35" Type="http://schemas.microsoft.com/office/2017/06/relationships/rdRichValueStructure" Target="richData/rdrichvaluestructure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2</xdr:row>
      <xdr:rowOff>152400</xdr:rowOff>
    </xdr:from>
    <xdr:to>
      <xdr:col>11</xdr:col>
      <xdr:colOff>304800</xdr:colOff>
      <xdr:row>5</xdr:row>
      <xdr:rowOff>104775</xdr:rowOff>
    </xdr:to>
    <xdr:pic>
      <xdr:nvPicPr>
        <xdr:cNvPr id="1855" name="Imagem 1">
          <a:extLst>
            <a:ext uri="{FF2B5EF4-FFF2-40B4-BE49-F238E27FC236}">
              <a16:creationId xmlns:a16="http://schemas.microsoft.com/office/drawing/2014/main" id="{E0898296-121E-1B3A-C651-4EDD5E817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52400"/>
          <a:ext cx="31337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180975</xdr:colOff>
      <xdr:row>0</xdr:row>
      <xdr:rowOff>609600</xdr:rowOff>
    </xdr:to>
    <xdr:pic>
      <xdr:nvPicPr>
        <xdr:cNvPr id="2879" name="Imagem 1">
          <a:extLst>
            <a:ext uri="{FF2B5EF4-FFF2-40B4-BE49-F238E27FC236}">
              <a16:creationId xmlns:a16="http://schemas.microsoft.com/office/drawing/2014/main" id="{CB09E018-4DB1-9E74-3B48-EBCC92E56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1432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76200</xdr:rowOff>
    </xdr:from>
    <xdr:to>
      <xdr:col>1</xdr:col>
      <xdr:colOff>428625</xdr:colOff>
      <xdr:row>3</xdr:row>
      <xdr:rowOff>171450</xdr:rowOff>
    </xdr:to>
    <xdr:pic>
      <xdr:nvPicPr>
        <xdr:cNvPr id="147472" name="Imagem 2" descr="brasao">
          <a:extLst>
            <a:ext uri="{FF2B5EF4-FFF2-40B4-BE49-F238E27FC236}">
              <a16:creationId xmlns:a16="http://schemas.microsoft.com/office/drawing/2014/main" id="{6947E03B-0389-9FC6-C4E7-E07EA185A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76200"/>
          <a:ext cx="6858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123825</xdr:colOff>
      <xdr:row>0</xdr:row>
      <xdr:rowOff>76200</xdr:rowOff>
    </xdr:from>
    <xdr:to>
      <xdr:col>2</xdr:col>
      <xdr:colOff>809625</xdr:colOff>
      <xdr:row>3</xdr:row>
      <xdr:rowOff>171450</xdr:rowOff>
    </xdr:to>
    <xdr:pic>
      <xdr:nvPicPr>
        <xdr:cNvPr id="147473" name="Imagem 2" descr="brasao">
          <a:extLst>
            <a:ext uri="{FF2B5EF4-FFF2-40B4-BE49-F238E27FC236}">
              <a16:creationId xmlns:a16="http://schemas.microsoft.com/office/drawing/2014/main" id="{6213B94D-992C-1DC6-36DF-BDFB83314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6200"/>
          <a:ext cx="6858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1266825</xdr:colOff>
      <xdr:row>93</xdr:row>
      <xdr:rowOff>600075</xdr:rowOff>
    </xdr:from>
    <xdr:to>
      <xdr:col>3</xdr:col>
      <xdr:colOff>3400425</xdr:colOff>
      <xdr:row>93</xdr:row>
      <xdr:rowOff>609600</xdr:rowOff>
    </xdr:to>
    <xdr:cxnSp macro="">
      <xdr:nvCxnSpPr>
        <xdr:cNvPr id="23831" name="Conector reto 2">
          <a:extLst>
            <a:ext uri="{FF2B5EF4-FFF2-40B4-BE49-F238E27FC236}">
              <a16:creationId xmlns:a16="http://schemas.microsoft.com/office/drawing/2014/main" id="{8EAF7208-2B23-EC4C-5519-CD9B1F71125F}"/>
            </a:ext>
          </a:extLst>
        </xdr:cNvPr>
        <xdr:cNvCxnSpPr>
          <a:cxnSpLocks noChangeShapeType="1"/>
        </xdr:cNvCxnSpPr>
      </xdr:nvCxnSpPr>
      <xdr:spPr bwMode="auto">
        <a:xfrm>
          <a:off x="3886200" y="32832675"/>
          <a:ext cx="2133600" cy="952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1390650</xdr:colOff>
      <xdr:row>73</xdr:row>
      <xdr:rowOff>0</xdr:rowOff>
    </xdr:from>
    <xdr:to>
      <xdr:col>4</xdr:col>
      <xdr:colOff>3629025</xdr:colOff>
      <xdr:row>73</xdr:row>
      <xdr:rowOff>0</xdr:rowOff>
    </xdr:to>
    <xdr:cxnSp macro="">
      <xdr:nvCxnSpPr>
        <xdr:cNvPr id="98459" name="Conector reto 2">
          <a:extLst>
            <a:ext uri="{FF2B5EF4-FFF2-40B4-BE49-F238E27FC236}">
              <a16:creationId xmlns:a16="http://schemas.microsoft.com/office/drawing/2014/main" id="{BADDE23C-FD65-3C51-1852-20F332E9242F}"/>
            </a:ext>
          </a:extLst>
        </xdr:cNvPr>
        <xdr:cNvCxnSpPr>
          <a:cxnSpLocks noChangeShapeType="1"/>
        </xdr:cNvCxnSpPr>
      </xdr:nvCxnSpPr>
      <xdr:spPr bwMode="auto">
        <a:xfrm>
          <a:off x="4219575" y="19116675"/>
          <a:ext cx="2238375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34</xdr:row>
      <xdr:rowOff>742950</xdr:rowOff>
    </xdr:from>
    <xdr:to>
      <xdr:col>1</xdr:col>
      <xdr:colOff>2133600</xdr:colOff>
      <xdr:row>34</xdr:row>
      <xdr:rowOff>752475</xdr:rowOff>
    </xdr:to>
    <xdr:cxnSp macro="">
      <xdr:nvCxnSpPr>
        <xdr:cNvPr id="63519" name="Conector reto 2">
          <a:extLst>
            <a:ext uri="{FF2B5EF4-FFF2-40B4-BE49-F238E27FC236}">
              <a16:creationId xmlns:a16="http://schemas.microsoft.com/office/drawing/2014/main" id="{F485745B-733E-272E-DA8A-FF772903C5D2}"/>
            </a:ext>
          </a:extLst>
        </xdr:cNvPr>
        <xdr:cNvCxnSpPr>
          <a:cxnSpLocks noChangeShapeType="1"/>
        </xdr:cNvCxnSpPr>
      </xdr:nvCxnSpPr>
      <xdr:spPr bwMode="auto">
        <a:xfrm>
          <a:off x="847725" y="7515225"/>
          <a:ext cx="1838325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3</xdr:row>
      <xdr:rowOff>123825</xdr:rowOff>
    </xdr:to>
    <xdr:pic>
      <xdr:nvPicPr>
        <xdr:cNvPr id="148504" name="Imagem 2">
          <a:extLst>
            <a:ext uri="{FF2B5EF4-FFF2-40B4-BE49-F238E27FC236}">
              <a16:creationId xmlns:a16="http://schemas.microsoft.com/office/drawing/2014/main" id="{FD7AE8C9-FFB6-42D5-FF47-D52BB9E66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2</xdr:row>
      <xdr:rowOff>0</xdr:rowOff>
    </xdr:from>
    <xdr:to>
      <xdr:col>2</xdr:col>
      <xdr:colOff>0</xdr:colOff>
      <xdr:row>6</xdr:row>
      <xdr:rowOff>9525</xdr:rowOff>
    </xdr:to>
    <xdr:pic>
      <xdr:nvPicPr>
        <xdr:cNvPr id="148505" name="Imagem 2">
          <a:extLst>
            <a:ext uri="{FF2B5EF4-FFF2-40B4-BE49-F238E27FC236}">
              <a16:creationId xmlns:a16="http://schemas.microsoft.com/office/drawing/2014/main" id="{1EF7AEEB-35A5-7B3F-4340-6233CBE47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323850"/>
          <a:ext cx="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85725</xdr:rowOff>
    </xdr:from>
    <xdr:to>
      <xdr:col>2</xdr:col>
      <xdr:colOff>0</xdr:colOff>
      <xdr:row>3</xdr:row>
      <xdr:rowOff>209550</xdr:rowOff>
    </xdr:to>
    <xdr:pic>
      <xdr:nvPicPr>
        <xdr:cNvPr id="148506" name="Imagem 2">
          <a:extLst>
            <a:ext uri="{FF2B5EF4-FFF2-40B4-BE49-F238E27FC236}">
              <a16:creationId xmlns:a16="http://schemas.microsoft.com/office/drawing/2014/main" id="{78400D4B-C202-D238-90FC-D69295451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85725"/>
          <a:ext cx="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352425</xdr:colOff>
      <xdr:row>89</xdr:row>
      <xdr:rowOff>0</xdr:rowOff>
    </xdr:from>
    <xdr:ext cx="184731" cy="264560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3497DDC5-2802-7985-4718-05DE167C6326}"/>
            </a:ext>
          </a:extLst>
        </xdr:cNvPr>
        <xdr:cNvSpPr txBox="1"/>
      </xdr:nvSpPr>
      <xdr:spPr>
        <a:xfrm>
          <a:off x="6400800" y="1055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p-11207\c\Sergio\Amazonas\Dom%20eliseu\Bm%208-abr-dom%20elise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durb-db-01\pub_gt\UECON\GEURB\OBRAS%20DO%20PAC1_2007\JADERL&#194;NDIA_PAC1\Boletim%20de%20Medi&#231;&#227;o\Calculo%20de%20prazo%20de%20obr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PA%20COSANPA/PROJ.%20PAC/PAC%20Regi&#227;o%20Metropolitana/resposta%20cef%202008/Meus%20Documentos/GUANAB/reprograma&#231;&#227;o%20setembro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eguesia1\1.engenharia\1.ENGENHARIA\4.Freguesia\Or&#231;amento%20de%20venda\Quantidades\Qtde%20FRG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SA%20Engenharia\Atrab\tecsan\MC-Calc\MC-E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ELIADESK2\Scopus\orca_note\Scopus\822_Semin&#225;rio%20Maria%20Mater\822_Lev_Plan\822_Planilha%20QxPU_parci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camento2\meus%20documentos\Documents%20and%20Settings\ADM\Meus%20documentos\OBRAS%202007%20Perfil\Or&#231;amentos%202007\206%20BB%20-%20Ag.%20MARACANGALHA%20-REFORMA%20COM%20AMPLIA&#199;&#195;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istem&#225;ticas%202002\QUADRA%20DA%20CIDADANIA\Planilha%20Or&#231;ament&#225;ria%20da%20Quadra%20da%20Cidadania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SA%20Engenharia\BS2G%20CONSULTORIA\ETA%20S&#195;O%20BRAS%20C-D%20-%20JNETO\CD%20LICITA&#199;&#195;O\OR&#199;A%20ETA%20SAO%20BRAS%20RV%20JNETO%203%20(SAMPAIO)%20FI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durb-db-01\PUB_GT\Emendas%20Parlamentares%202007-revisado%20SEDURB\TUCUM&#195;\MC\TEXTO\Or&#231;a%20e%20Compo%20CACHOEIRA%20DO%20COUT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elia\clelia\Orcamento\HAQUI\001-VIG_FUND-AGO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2.2\FRD%20II\RONDON%20DO%20PAR&#193;\CD%20BNDES%20-%20RONDON%20DO%20PAR&#193;_revisado_16.05.12\Textos%20e%20or&#231;amento\LEVANTAMENTO_DRENAGE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-Bm 8"/>
      <sheetName val="Bm 8"/>
      <sheetName val="Rede 8"/>
      <sheetName val="ValueList_Helper"/>
      <sheetName val="ORÇA. URUARÁ 2019"/>
      <sheetName val="Compens.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ETA-Mat"/>
      <sheetName val="INCCTOT"/>
      <sheetName val="Jacaraci"/>
      <sheetName val="Demanda-Total"/>
      <sheetName val="V reservação"/>
      <sheetName val="Pre dimensADUTORA"/>
      <sheetName val="Lista"/>
      <sheetName val="Zona A"/>
      <sheetName val="Zona B"/>
      <sheetName val="EEAB1(3+1)3G"/>
      <sheetName val="Insumos"/>
      <sheetName val="bm 8"/>
      <sheetName val="Drenagem"/>
      <sheetName val="viario"/>
      <sheetName val="01-TAC"/>
      <sheetName val="TAC - CORREÇÃO DA PROPOSTA"/>
      <sheetName val="M.C  - QUANTITATIVO "/>
      <sheetName val="PQP"/>
      <sheetName val="SALDOS"/>
      <sheetName val="TAC_ADUT_DN500"/>
      <sheetName val="Tabela"/>
      <sheetName val="BOLETIM DE MEDI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ual"/>
      <sheetName val="Prazo OKOK"/>
      <sheetName val="Prazo OKOK (2)"/>
      <sheetName val="Feriados"/>
      <sheetName val="Prazo OK (2)"/>
      <sheetName val="Prazo OK (3)"/>
      <sheetName val="Prazo OK"/>
      <sheetName val="Calendário Normal"/>
      <sheetName val="Plan2"/>
      <sheetName val="Plan3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comp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molições_Volume"/>
      <sheetName val="Demolições_Área-2"/>
      <sheetName val="Acabamentos"/>
      <sheetName val="Meio-fio"/>
      <sheetName val="Ilum. pública"/>
      <sheetName val="Pavimentação"/>
      <sheetName val="Sinalização Trafego"/>
      <sheetName val="Mobiliário urbano"/>
      <sheetName val="Drenagem"/>
      <sheetName val="Redes_Ruas"/>
      <sheetName val="Infra-redes..."/>
      <sheetName val="Qtde FRG"/>
      <sheetName val="Planilha auxiliar por item"/>
      <sheetName val="CRONOGRAMA FISICO"/>
      <sheetName val="CFF"/>
      <sheetName val="ORÇAMENTO (2)"/>
      <sheetName val="MEDIÇÃO (2)"/>
      <sheetName val="composição_unitária"/>
      <sheetName val="custo_profissional"/>
      <sheetName val="BDI"/>
      <sheetName val="ENC.SOC."/>
      <sheetName val="BDI_MATERIAL"/>
      <sheetName val="CPU"/>
      <sheetName val="CPU (2)"/>
      <sheetName val="INSUMOS_SINAPI_12_14"/>
      <sheetName val="SERVIÇOS_SINAPI_12_14"/>
      <sheetName val="Plan1"/>
      <sheetName val="ORÇAMENTO"/>
      <sheetName val="QCI"/>
      <sheetName val="1.ADM LOCAL"/>
      <sheetName val="2.SER.PRELIM."/>
      <sheetName val="3.DEM. E RET."/>
      <sheetName val="4.COBERTURA"/>
      <sheetName val="5.PAREDES"/>
      <sheetName val="6.REVEST"/>
      <sheetName val="7.PINTURA"/>
      <sheetName val="8.PISOS"/>
      <sheetName val="9.ESQUADRIA"/>
      <sheetName val="10.INST. ELÉTRICAS"/>
      <sheetName val="11.INST. HIDROSSANIT."/>
      <sheetName val="12.SERV. FINAIS"/>
      <sheetName val="esquadrias"/>
      <sheetName val="bm 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PLANILHA QUANTITATIVA"/>
      <sheetName val="CRONOGRAMA FISICO"/>
      <sheetName val="CFF"/>
      <sheetName val="ORÇAMENTO (2)"/>
      <sheetName val="MEDIÇÃO (2)"/>
      <sheetName val="composição_unitária"/>
      <sheetName val="custo_profissional"/>
      <sheetName val="BDI"/>
      <sheetName val="ENC.SOC."/>
      <sheetName val="BDI_MATERIAL"/>
      <sheetName val="CPU"/>
      <sheetName val="CPU (2)"/>
      <sheetName val="INSUMOS_SINAPI_12_14"/>
      <sheetName val="SERVIÇOS_SINAPI_12_14"/>
      <sheetName val="Plan1"/>
      <sheetName val="ORÇAMENTO"/>
      <sheetName val="QCI"/>
      <sheetName val="1.ADM LOCAL"/>
      <sheetName val="2.SER.PRELIM."/>
      <sheetName val="3.DEM. E RET."/>
      <sheetName val="4.COBERTURA"/>
      <sheetName val="5.PAREDES"/>
      <sheetName val="6.REVEST"/>
      <sheetName val="7.PINTURA"/>
      <sheetName val="8.PISOS"/>
      <sheetName val="9.ESQUADRIA"/>
      <sheetName val="10.INST. ELÉTRIC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(4)"/>
      <sheetName val="cronograma (3)"/>
      <sheetName val="PRINCIPAL"/>
      <sheetName val="Rede frigorifica"/>
      <sheetName val="ELETRICA "/>
      <sheetName val="#REF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pção 1"/>
      <sheetName val="Opção 2"/>
      <sheetName val="Opção 3"/>
      <sheetName val="Plan2"/>
      <sheetName val="Plan3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PROJETISTA"/>
      <sheetName val="CRONO FISI FINAN ETA S BRAZ"/>
      <sheetName val="Q.C.I."/>
      <sheetName val="RESUMO"/>
      <sheetName val="CANTEIRO OB(1.0)"/>
      <sheetName val="GALERIA TUB(2.0)"/>
      <sheetName val="CANAL A DECANT (3.0)"/>
      <sheetName val="TB A LAV ASCENCIONAL(4.0)"/>
      <sheetName val="E ELEV LAV SUPERF(05)"/>
      <sheetName val="BARR A LAV SUP(6)"/>
      <sheetName val="Plan1"/>
      <sheetName val="FILTROS(7)"/>
      <sheetName val="CASA QUIM(8)"/>
      <sheetName val="INST ELÉT(9)"/>
      <sheetName val="REFORMA PRÉDIO ETA"/>
      <sheetName val="DECANTADORES MELHO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TABELA RECURSOS"/>
      <sheetName val="CPU BÁSICA"/>
      <sheetName val="CPU BÁSICA 2"/>
      <sheetName val="CPU BÁSICA 1"/>
      <sheetName val="AUX 30 CONCRETO 35 MPa"/>
      <sheetName val="AUX 29 CHAMINÉ PV H = 1,00"/>
      <sheetName val="AUX 28 LASTRO DE SEIXO"/>
      <sheetName val="AUX 27 ESCAVAÇÃO MANUAL"/>
      <sheetName val="AUX 26 CONFECÇÃO SUPORTE "/>
      <sheetName val="AUX 25 CONFECÇÃO PLACA"/>
      <sheetName val="AUX 24 GUIA DE MADEIRA"/>
      <sheetName val="AUX 23 CONF TUBO 60"/>
      <sheetName val="AUX 22 ARGAMASSA 14"/>
      <sheetName val="AUX 21 ARGAMASSA 13"/>
      <sheetName val="AUX 20 AÇO CA 25"/>
      <sheetName val="AUX 19 AÇO CA 50"/>
      <sheetName val="AUX 18 AÇO CA 60"/>
      <sheetName val="AUX 17 CONCRETO CICLÓPICO 12"/>
      <sheetName val="AUX 16 CONCRETO 18 MPa TUBOS"/>
      <sheetName val="AUX 15 CONCRETO 25 MPa"/>
      <sheetName val="AUX 14 CONCRETO 20 MPa"/>
      <sheetName val="AUX 13 CONCRETO 15 MPa"/>
      <sheetName val="AUX 12 CONC 12 MPa"/>
      <sheetName val="AUX 11 CONCRETO 10 MPa"/>
      <sheetName val="AUX 10 FORMA COMP PLASTIIFCA"/>
      <sheetName val="AUX 09 FORMA COMUM"/>
      <sheetName val="AUX 08 USINAGEM CBUQ"/>
      <sheetName val="AUX 07 ESCAV CARGA JAZIDA"/>
      <sheetName val="AUX 06 EXPURGO JAZIDA"/>
      <sheetName val="AUX 05 LIMPEZA JAZIDA"/>
      <sheetName val="AUX 04 ALVENARIA DE TIJOLO"/>
      <sheetName val="AUX 03 FORNEC AÇO CA 60"/>
      <sheetName val="AUX 02 FORNEC AÇO CA 50"/>
      <sheetName val="AUX 01 FORNEC AÇO CA 25"/>
      <sheetName val="8.13 ARBUSTOS"/>
      <sheetName val="8.12 FORN IMPL PLACA SINAL"/>
      <sheetName val="8.11 PINTURA DE FAIXA"/>
      <sheetName val="8.10 FORNEC CAP-20"/>
      <sheetName val="8.9 FORNEC RR-2C"/>
      <sheetName val="8.8 FORNEC CM-30"/>
      <sheetName val="8.7TRANSPORTE MATERIAL JAZIDA"/>
      <sheetName val="8.6 CBUQ CAPA ROLAMENTO"/>
      <sheetName val="8.5 PINTURA LIGAÇÃO"/>
      <sheetName val="8.4 IMPRIMAÇÃO"/>
      <sheetName val="8.3 BASE"/>
      <sheetName val="8.2 SUBASE"/>
      <sheetName val="8.1 REGULARIZAÇÃO"/>
      <sheetName val="7.2 Instal eletrica"/>
      <sheetName val="6.5.4 Poste tubo galv.com lumin"/>
      <sheetName val="6.5.3 GUARDA RODAS"/>
      <sheetName val="6.5.2 GUARDA CORPO"/>
      <sheetName val="6.5.1 LAJE TRANSIÇÃO"/>
      <sheetName val="6.4.2.1 CIMBRAMNETO"/>
      <sheetName val="6.2.3 CONCRETO fck = 25,0 MPa"/>
      <sheetName val="6.1.2 PONTE SERVIÇO"/>
      <sheetName val="6.1.1 ESTACA PRE MOLD 30x30"/>
      <sheetName val="5.14 MANTA GEOTEXTIL (2)"/>
      <sheetName val="5.13 CAMADA DE AREIA"/>
      <sheetName val="5.12 CAMADA DE SEIXO"/>
      <sheetName val="5.11 GUARDA CORPO METALICO"/>
      <sheetName val="5.10 PASSEIO DE TIJOLO CERÂMICO"/>
      <sheetName val="5.9 CAMADA ENCH PASSEIO"/>
      <sheetName val="5.8 BANCO ARGAMASSA ARMADA"/>
      <sheetName val="5.7 GRAMA EM PLACA"/>
      <sheetName val="5.6 TERRA VEGETAL"/>
      <sheetName val="5.5 ESCOR DESCONTIUO VALA"/>
      <sheetName val="5.4 BOCA DE LOBO "/>
      <sheetName val="5.3 CX PASSAGEM TUBO 60"/>
      <sheetName val="5.2 MEIO FIO C SARJETA"/>
      <sheetName val="5.1 TUBULAÇÃO D=0,60 M"/>
      <sheetName val="4.2.6 JUNTA DILAT FUNGENBAND"/>
      <sheetName val="4.2.5 CONCRETO fck = 20,0 MPa"/>
      <sheetName val="4.2.4 AÇO CA 50"/>
      <sheetName val="4.2.3 FORMA"/>
      <sheetName val="4.2.2 LASTRO CONC MAGRO 10 MPa"/>
      <sheetName val="4.2.1 ESCAV MANUAL"/>
      <sheetName val="4.1.7 REATERRO MANUAL DE VALA"/>
      <sheetName val="4.1.6 MANTA GEOTEXTIL"/>
      <sheetName val="4.1.5 ESCAV MEC VALA"/>
      <sheetName val="4.1.4 PLACA PRE MOLDADA (2)"/>
      <sheetName val="4.1.3 PLACA PRE MOLDADA"/>
      <sheetName val="4.1.2 ESTACA PRE MOLDADA 20x20"/>
      <sheetName val="4.1.1 ESTACA PRE MOLDADA 25x25"/>
      <sheetName val="3.8 ESGOTAMENTO COM BOMBA"/>
      <sheetName val="3.7.3 COMPACTAÇÃO 100%"/>
      <sheetName val="3.6 MOMENTO TRANSP MAT 1a "/>
      <sheetName val="3.5 ESCAV MAT 1A CATEGORIA"/>
      <sheetName val="3.4 MOMENTO TRANSPORTE MAT AGUA"/>
      <sheetName val="3.3 ESCAV MAT COM AGUA"/>
      <sheetName val="3.2 EXEC ENSECADEIRA"/>
      <sheetName val="3.1 DESMATAMENTO MANUAL"/>
      <sheetName val="2.5  TRANSPORTE MAT REMOÇÃO"/>
      <sheetName val="2.4 REMOÇÃO DE ENTULHO"/>
      <sheetName val="2.3 DEMOL REM CONC ARMADO"/>
      <sheetName val="2.2 DEM REM ESTRUTURA MADEIRA"/>
      <sheetName val="2.1 REMANEJ FAMÍLIA"/>
      <sheetName val="1.5 Projeto executivo"/>
      <sheetName val="1.4 PLACA SINALIZAÇÃO"/>
      <sheetName val="1.3 LOC TOPOGRÁFICA"/>
      <sheetName val="1.2 Instal canteiro obras"/>
      <sheetName val=" 1.1 Mobilização e desmob "/>
      <sheetName val="Plan1"/>
      <sheetName val="Etapa Única"/>
      <sheetName val="cálculo de áreas"/>
      <sheetName val="contrato"/>
      <sheetName val="Drenag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1-VIG_FUND-AGO2000"/>
      <sheetName val="Drenagem"/>
      <sheetName val="Etapa Única"/>
      <sheetName val="ORÇAMENTO"/>
      <sheetName val="QCI"/>
      <sheetName val="CFF"/>
      <sheetName val="BDI"/>
      <sheetName val="ENC.SOC."/>
      <sheetName val="1.ADM LOCAL"/>
      <sheetName val="2.SER.PRELIM."/>
      <sheetName val="3.DEM. E RET."/>
      <sheetName val="4.COBERTURA"/>
      <sheetName val="5.PAREDES"/>
      <sheetName val="6.REVEST"/>
      <sheetName val="7.PINTURA"/>
      <sheetName val="8.PISOS"/>
      <sheetName val="9.ESQUADRIA"/>
      <sheetName val="composição_unitária"/>
      <sheetName val="custo_profissional"/>
      <sheetName val="BDI_MATERIAL"/>
      <sheetName val="CPU"/>
      <sheetName val="CPU (2)"/>
      <sheetName val="INSUMOS_SINAPI_12_14"/>
      <sheetName val="SERVIÇOS_SINAPI_12_14"/>
      <sheetName val="10.INST. ELÉTRICAS"/>
      <sheetName val="11.INST. HIDROSSANIT."/>
      <sheetName val="12.SERV. FINAIS"/>
      <sheetName val="esquadrias"/>
      <sheetName val="geral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 RESUMO DRENAGEM"/>
      <sheetName val="MEMO GUSMÃO"/>
      <sheetName val="MEMO BELA VISTA"/>
      <sheetName val="MEMO RECANTO AZUL"/>
      <sheetName val=" CRONO_DREN_GUSMÃO"/>
      <sheetName val="ORÇA GUSMÃO"/>
    </sheetNames>
    <sheetDataSet>
      <sheetData sheetId="0" refreshError="1"/>
      <sheetData sheetId="1"/>
      <sheetData sheetId="2">
        <row r="24">
          <cell r="F24">
            <v>0</v>
          </cell>
        </row>
      </sheetData>
      <sheetData sheetId="3">
        <row r="19">
          <cell r="F19">
            <v>88</v>
          </cell>
        </row>
      </sheetData>
      <sheetData sheetId="4" refreshError="1"/>
      <sheetData sheetId="5" refreshError="1"/>
    </sheetDataSet>
  </externalBook>
</externalLink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9</v>
    <v>3</v>
  </rv>
  <rv s="1">
    <v>9</v>
    <v>1</v>
  </rv>
</rvData>
</file>

<file path=xl/richData/rdrichvaluestructure.xml><?xml version="1.0" encoding="utf-8"?>
<rvStructures xmlns="http://schemas.microsoft.com/office/spreadsheetml/2017/richdata" count="2">
  <s t="_error">
    <k n="errorType" t="i"/>
    <k n="subType" t="i"/>
  </s>
  <s t="_error">
    <k n="errorType" t="i"/>
    <k n="propagated" t="b"/>
  </s>
</rvStructure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B1250-5220-4EEC-9DE7-8960741AEEBF}">
  <dimension ref="A1:AB45"/>
  <sheetViews>
    <sheetView view="pageBreakPreview" topLeftCell="A10" zoomScaleNormal="100" zoomScaleSheetLayoutView="100" workbookViewId="0">
      <pane xSplit="1" topLeftCell="B1" activePane="topRight" state="frozen"/>
      <selection pane="topRight" activeCell="M13" sqref="M13:N34"/>
      <selection activeCell="M13" sqref="M13:N34"/>
    </sheetView>
  </sheetViews>
  <sheetFormatPr defaultRowHeight="12.75"/>
  <cols>
    <col min="1" max="1" width="4.5703125" customWidth="1"/>
    <col min="2" max="2" width="4.85546875" customWidth="1"/>
    <col min="3" max="3" width="4.28515625" customWidth="1"/>
    <col min="4" max="4" width="0" hidden="1" customWidth="1"/>
    <col min="5" max="5" width="2.42578125" customWidth="1"/>
    <col min="6" max="6" width="6" customWidth="1"/>
    <col min="7" max="8" width="9.140625" hidden="1" customWidth="1"/>
    <col min="9" max="9" width="8.5703125" customWidth="1"/>
    <col min="10" max="10" width="6.7109375" customWidth="1"/>
    <col min="11" max="11" width="6.42578125" customWidth="1"/>
    <col min="12" max="12" width="6.140625" customWidth="1"/>
    <col min="13" max="13" width="6.42578125" customWidth="1"/>
    <col min="14" max="14" width="5.85546875" customWidth="1"/>
    <col min="15" max="15" width="10.140625" customWidth="1"/>
    <col min="16" max="17" width="8.7109375" customWidth="1"/>
    <col min="18" max="18" width="5.5703125" customWidth="1"/>
    <col min="19" max="19" width="8.5703125" customWidth="1"/>
    <col min="20" max="20" width="0.140625" hidden="1" customWidth="1"/>
    <col min="21" max="21" width="8.28515625" customWidth="1"/>
    <col min="22" max="22" width="10" customWidth="1"/>
    <col min="23" max="23" width="9.5703125" customWidth="1"/>
    <col min="24" max="24" width="9.85546875" customWidth="1"/>
    <col min="25" max="26" width="11.42578125" customWidth="1"/>
  </cols>
  <sheetData>
    <row r="1" spans="1:26" hidden="1">
      <c r="A1" t="s">
        <v>0</v>
      </c>
      <c r="F1" s="146" t="s">
        <v>1</v>
      </c>
      <c r="I1" s="147">
        <v>1.3</v>
      </c>
    </row>
    <row r="2" spans="1:26" ht="11.25" hidden="1" customHeight="1">
      <c r="A2" t="s">
        <v>2</v>
      </c>
      <c r="F2" s="146" t="s">
        <v>3</v>
      </c>
      <c r="I2" s="148">
        <v>2.6</v>
      </c>
    </row>
    <row r="3" spans="1:26" ht="25.5" customHeight="1"/>
    <row r="7" spans="1:26" ht="16.5">
      <c r="A7" s="96" t="s">
        <v>4</v>
      </c>
      <c r="B7" s="96"/>
      <c r="C7" s="96"/>
      <c r="D7" s="96"/>
      <c r="E7" s="96"/>
      <c r="F7" s="96"/>
      <c r="G7" s="96"/>
      <c r="H7" s="96"/>
      <c r="I7" s="96"/>
      <c r="J7" s="96"/>
      <c r="K7" s="97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149"/>
      <c r="Y7" s="149"/>
      <c r="Z7" s="149"/>
    </row>
    <row r="8" spans="1:26" ht="16.5">
      <c r="A8" s="96" t="s">
        <v>5</v>
      </c>
      <c r="B8" s="99"/>
      <c r="C8" s="102"/>
      <c r="D8" s="102"/>
      <c r="E8" s="102"/>
      <c r="F8" s="102"/>
      <c r="G8" s="102"/>
      <c r="H8" s="103"/>
      <c r="I8" s="103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150" t="s">
        <v>6</v>
      </c>
      <c r="Y8" s="151">
        <v>42134</v>
      </c>
      <c r="Z8" s="100"/>
    </row>
    <row r="9" spans="1:26" ht="16.5">
      <c r="A9" s="96" t="s">
        <v>7</v>
      </c>
      <c r="B9" s="99"/>
      <c r="C9" s="102"/>
      <c r="D9" s="102"/>
      <c r="E9" s="102"/>
      <c r="F9" s="102"/>
      <c r="G9" s="102"/>
      <c r="H9" s="103"/>
      <c r="I9" s="103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150"/>
      <c r="Y9" s="151"/>
      <c r="Z9" s="100"/>
    </row>
    <row r="10" spans="1:26" ht="17.25" thickBot="1">
      <c r="A10" s="96"/>
      <c r="B10" s="99"/>
      <c r="C10" s="102"/>
      <c r="D10" s="102"/>
      <c r="E10" s="102"/>
      <c r="F10" s="102"/>
      <c r="G10" s="102"/>
      <c r="H10" s="103"/>
      <c r="I10" s="103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100"/>
      <c r="Y10" s="100"/>
      <c r="Z10" s="100"/>
    </row>
    <row r="11" spans="1:26" ht="14.25">
      <c r="A11" s="513" t="s">
        <v>8</v>
      </c>
      <c r="B11" s="507"/>
      <c r="C11" s="152" t="s">
        <v>9</v>
      </c>
      <c r="D11" s="3"/>
      <c r="E11" s="503" t="s">
        <v>10</v>
      </c>
      <c r="F11" s="507"/>
      <c r="G11" s="507"/>
      <c r="H11" s="507"/>
      <c r="I11" s="504"/>
      <c r="J11" s="503" t="s">
        <v>11</v>
      </c>
      <c r="K11" s="504"/>
      <c r="L11" s="503" t="s">
        <v>12</v>
      </c>
      <c r="M11" s="504"/>
      <c r="N11" s="2" t="s">
        <v>13</v>
      </c>
      <c r="O11" s="153" t="s">
        <v>14</v>
      </c>
      <c r="P11" s="2" t="s">
        <v>15</v>
      </c>
      <c r="Q11" s="154" t="s">
        <v>16</v>
      </c>
      <c r="R11" s="505" t="s">
        <v>17</v>
      </c>
      <c r="S11" s="506"/>
      <c r="T11" s="153" t="s">
        <v>14</v>
      </c>
      <c r="U11" s="4" t="s">
        <v>18</v>
      </c>
      <c r="V11" s="4" t="s">
        <v>19</v>
      </c>
      <c r="W11" s="4" t="s">
        <v>20</v>
      </c>
      <c r="X11" s="503" t="s">
        <v>21</v>
      </c>
      <c r="Y11" s="507"/>
      <c r="Z11" s="508"/>
    </row>
    <row r="12" spans="1:26" ht="27.75" thickBot="1">
      <c r="A12" s="155" t="s">
        <v>22</v>
      </c>
      <c r="B12" s="1" t="s">
        <v>23</v>
      </c>
      <c r="C12" s="156" t="s">
        <v>24</v>
      </c>
      <c r="D12" s="1"/>
      <c r="E12" s="509" t="s">
        <v>25</v>
      </c>
      <c r="F12" s="510"/>
      <c r="G12" s="157"/>
      <c r="H12" s="158"/>
      <c r="I12" s="159" t="s">
        <v>26</v>
      </c>
      <c r="J12" s="160" t="s">
        <v>27</v>
      </c>
      <c r="K12" s="160" t="s">
        <v>28</v>
      </c>
      <c r="L12" s="160" t="s">
        <v>27</v>
      </c>
      <c r="M12" s="160" t="s">
        <v>28</v>
      </c>
      <c r="N12" s="156" t="s">
        <v>29</v>
      </c>
      <c r="O12" s="161" t="s">
        <v>30</v>
      </c>
      <c r="P12" s="156" t="s">
        <v>31</v>
      </c>
      <c r="Q12" s="156" t="s">
        <v>32</v>
      </c>
      <c r="R12" s="156" t="s">
        <v>33</v>
      </c>
      <c r="S12" s="162" t="s">
        <v>34</v>
      </c>
      <c r="T12" s="163" t="s">
        <v>35</v>
      </c>
      <c r="U12" s="164" t="s">
        <v>31</v>
      </c>
      <c r="V12" s="164" t="s">
        <v>31</v>
      </c>
      <c r="W12" s="164" t="s">
        <v>31</v>
      </c>
      <c r="X12" s="162" t="s">
        <v>36</v>
      </c>
      <c r="Y12" s="162" t="s">
        <v>37</v>
      </c>
      <c r="Z12" s="165" t="s">
        <v>38</v>
      </c>
    </row>
    <row r="13" spans="1:26" ht="13.5">
      <c r="A13" s="166"/>
      <c r="B13" s="167"/>
      <c r="C13" s="167"/>
      <c r="D13" s="168"/>
      <c r="E13" s="168"/>
      <c r="F13" s="169"/>
      <c r="G13" s="170"/>
      <c r="H13" s="171"/>
      <c r="I13" s="172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67"/>
      <c r="U13" s="167"/>
      <c r="V13" s="167"/>
      <c r="W13" s="167"/>
      <c r="X13" s="167"/>
      <c r="Y13" s="173"/>
      <c r="Z13" s="174"/>
    </row>
    <row r="14" spans="1:26" ht="13.5">
      <c r="A14" s="131" t="e">
        <f>#REF!</f>
        <v>#REF!</v>
      </c>
      <c r="B14" s="122" t="e">
        <f>#REF!</f>
        <v>#REF!</v>
      </c>
      <c r="C14" s="122" t="e">
        <f>#REF!</f>
        <v>#REF!</v>
      </c>
      <c r="D14" s="175" t="e">
        <f>IF(E14=0,C14,2*C14)</f>
        <v>#REF!</v>
      </c>
      <c r="E14" s="175"/>
      <c r="F14" s="176" t="e">
        <f>H14/1000</f>
        <v>#REF!</v>
      </c>
      <c r="G14" s="175"/>
      <c r="H14" s="177" t="e">
        <f>#REF!</f>
        <v>#REF!</v>
      </c>
      <c r="I14" s="178" t="e">
        <f>F14*1.2</f>
        <v>#REF!</v>
      </c>
      <c r="J14" s="178" t="e">
        <f>#REF!</f>
        <v>#REF!</v>
      </c>
      <c r="K14" s="178" t="e">
        <f>#REF!</f>
        <v>#REF!</v>
      </c>
      <c r="L14" s="178" t="e">
        <f>#REF!</f>
        <v>#REF!</v>
      </c>
      <c r="M14" s="178" t="e">
        <f>#REF!</f>
        <v>#REF!</v>
      </c>
      <c r="N14" s="178" t="e">
        <f>IF(E14=0,I14+0.6,2*I14+0.6+0.5)</f>
        <v>#REF!</v>
      </c>
      <c r="O14" s="178" t="e">
        <f>((J14-L14)+(K14-M14))/2</f>
        <v>#REF!</v>
      </c>
      <c r="P14" s="178" t="e">
        <f>N14*(O14+R14)*C14</f>
        <v>#REF!</v>
      </c>
      <c r="Q14" s="178" t="e">
        <f>N14*C14</f>
        <v>#REF!</v>
      </c>
      <c r="R14" s="178">
        <v>0.2</v>
      </c>
      <c r="S14" s="178" t="e">
        <f>N14*R14*C14</f>
        <v>#REF!</v>
      </c>
      <c r="T14" s="178">
        <v>1.605</v>
      </c>
      <c r="U14" s="178" t="e">
        <f>((3.1416*(I14^2))/4*C14)</f>
        <v>#REF!</v>
      </c>
      <c r="V14" s="178" t="e">
        <f>IF(E14=0,P14-(S14+U14),P14-(2*U14+S14))</f>
        <v>#REF!</v>
      </c>
      <c r="W14" s="178" t="e">
        <f>(P14-V14)*1.3</f>
        <v>#REF!</v>
      </c>
      <c r="X14" s="179" t="e">
        <f>IF((O14+R14)&lt;=1.3,(O14+R14)*2*C14,0)</f>
        <v>#REF!</v>
      </c>
      <c r="Y14" s="179" t="e">
        <f>IF((O14+R14)&lt;=$I$2,(O14+R14)*2*C14,0)-X14</f>
        <v>#REF!</v>
      </c>
      <c r="Z14" s="180" t="e">
        <f>IF((O14+R14)&gt;$I$2,(O14+R14)*2*C14,0)</f>
        <v>#REF!</v>
      </c>
    </row>
    <row r="15" spans="1:26" s="205" customFormat="1" ht="13.5">
      <c r="A15" s="215" t="e">
        <f>#REF!</f>
        <v>#REF!</v>
      </c>
      <c r="B15" s="208" t="e">
        <f>#REF!</f>
        <v>#REF!</v>
      </c>
      <c r="C15" s="208" t="e">
        <f>#REF!</f>
        <v>#REF!</v>
      </c>
      <c r="D15" s="209" t="e">
        <f t="shared" ref="D15:D24" si="0">IF(E15=0,C15,2*C15)</f>
        <v>#REF!</v>
      </c>
      <c r="E15" s="209"/>
      <c r="F15" s="210" t="e">
        <f t="shared" ref="F15:F24" si="1">H15/1000</f>
        <v>#REF!</v>
      </c>
      <c r="G15" s="209"/>
      <c r="H15" s="211" t="e">
        <f>#REF!</f>
        <v>#REF!</v>
      </c>
      <c r="I15" s="212" t="e">
        <f t="shared" ref="I15:I24" si="2">F15*1.2</f>
        <v>#REF!</v>
      </c>
      <c r="J15" s="212" t="e">
        <f>#REF!</f>
        <v>#REF!</v>
      </c>
      <c r="K15" s="212" t="e">
        <f>#REF!</f>
        <v>#REF!</v>
      </c>
      <c r="L15" s="212" t="e">
        <f>#REF!</f>
        <v>#REF!</v>
      </c>
      <c r="M15" s="212" t="e">
        <f>#REF!</f>
        <v>#REF!</v>
      </c>
      <c r="N15" s="212" t="e">
        <f t="shared" ref="N15:N26" si="3">IF(E15=0,I15+0.6,2*I15+0.6+0.5)</f>
        <v>#REF!</v>
      </c>
      <c r="O15" s="212" t="e">
        <f t="shared" ref="O15:O26" si="4">((J15-L15)+(K15-M15))/2</f>
        <v>#REF!</v>
      </c>
      <c r="P15" s="212" t="e">
        <f t="shared" ref="P15:P24" si="5">N15*(O15+R15)*C15</f>
        <v>#REF!</v>
      </c>
      <c r="Q15" s="212" t="e">
        <f t="shared" ref="Q15:Q24" si="6">N15*C15</f>
        <v>#REF!</v>
      </c>
      <c r="R15" s="212">
        <v>0.2</v>
      </c>
      <c r="S15" s="212" t="e">
        <f t="shared" ref="S15:S24" si="7">N15*R15*C15</f>
        <v>#REF!</v>
      </c>
      <c r="T15" s="212">
        <v>1.605</v>
      </c>
      <c r="U15" s="212" t="e">
        <f t="shared" ref="U15:U24" si="8">((3.1416*(I15^2))/4*C15)</f>
        <v>#REF!</v>
      </c>
      <c r="V15" s="212" t="e">
        <f t="shared" ref="V15:V24" si="9">IF(E15=0,P15-(S15+U15),P15-(2*U15+S15))</f>
        <v>#REF!</v>
      </c>
      <c r="W15" s="212" t="e">
        <f t="shared" ref="W15:W24" si="10">(P15-V15)*1.3</f>
        <v>#REF!</v>
      </c>
      <c r="X15" s="213" t="e">
        <f t="shared" ref="X15:X24" si="11">IF((O15+R15)&lt;=1.3,(O15+R15)*2*C15,0)</f>
        <v>#REF!</v>
      </c>
      <c r="Y15" s="213" t="e">
        <f t="shared" ref="Y15:Y24" si="12">IF((O15+R15)&lt;=$I$2,(O15+R15)*2*C15,0)-X15</f>
        <v>#REF!</v>
      </c>
      <c r="Z15" s="214" t="e">
        <f t="shared" ref="Z15:Z24" si="13">IF((O15+R15)&gt;$I$2,(O15+R15)*2*C15,0)</f>
        <v>#REF!</v>
      </c>
    </row>
    <row r="16" spans="1:26" ht="13.5">
      <c r="A16" s="131" t="e">
        <f>#REF!</f>
        <v>#REF!</v>
      </c>
      <c r="B16" s="122" t="e">
        <f>#REF!</f>
        <v>#REF!</v>
      </c>
      <c r="C16" s="122" t="e">
        <f>#REF!</f>
        <v>#REF!</v>
      </c>
      <c r="D16" s="175" t="e">
        <f t="shared" si="0"/>
        <v>#REF!</v>
      </c>
      <c r="E16" s="175"/>
      <c r="F16" s="176" t="e">
        <f t="shared" si="1"/>
        <v>#REF!</v>
      </c>
      <c r="G16" s="175"/>
      <c r="H16" s="177" t="e">
        <f>#REF!</f>
        <v>#REF!</v>
      </c>
      <c r="I16" s="178" t="e">
        <f t="shared" si="2"/>
        <v>#REF!</v>
      </c>
      <c r="J16" s="178" t="e">
        <f>#REF!</f>
        <v>#REF!</v>
      </c>
      <c r="K16" s="178" t="e">
        <f>#REF!</f>
        <v>#REF!</v>
      </c>
      <c r="L16" s="178" t="e">
        <f>#REF!</f>
        <v>#REF!</v>
      </c>
      <c r="M16" s="178" t="e">
        <f>#REF!</f>
        <v>#REF!</v>
      </c>
      <c r="N16" s="178" t="e">
        <f t="shared" si="3"/>
        <v>#REF!</v>
      </c>
      <c r="O16" s="178" t="e">
        <f t="shared" si="4"/>
        <v>#REF!</v>
      </c>
      <c r="P16" s="178" t="e">
        <f t="shared" si="5"/>
        <v>#REF!</v>
      </c>
      <c r="Q16" s="178" t="e">
        <f t="shared" si="6"/>
        <v>#REF!</v>
      </c>
      <c r="R16" s="178">
        <v>0.2</v>
      </c>
      <c r="S16" s="178" t="e">
        <f t="shared" si="7"/>
        <v>#REF!</v>
      </c>
      <c r="T16" s="178">
        <v>1.605</v>
      </c>
      <c r="U16" s="178" t="e">
        <f t="shared" si="8"/>
        <v>#REF!</v>
      </c>
      <c r="V16" s="178" t="e">
        <f t="shared" si="9"/>
        <v>#REF!</v>
      </c>
      <c r="W16" s="178" t="e">
        <f t="shared" si="10"/>
        <v>#REF!</v>
      </c>
      <c r="X16" s="179" t="e">
        <f t="shared" si="11"/>
        <v>#REF!</v>
      </c>
      <c r="Y16" s="179" t="e">
        <f t="shared" si="12"/>
        <v>#REF!</v>
      </c>
      <c r="Z16" s="180" t="e">
        <f t="shared" si="13"/>
        <v>#REF!</v>
      </c>
    </row>
    <row r="17" spans="1:28" ht="13.5">
      <c r="A17" s="131" t="e">
        <f>#REF!</f>
        <v>#REF!</v>
      </c>
      <c r="B17" s="122" t="e">
        <f>#REF!</f>
        <v>#REF!</v>
      </c>
      <c r="C17" s="122" t="e">
        <f>#REF!</f>
        <v>#REF!</v>
      </c>
      <c r="D17" s="175" t="e">
        <f t="shared" si="0"/>
        <v>#REF!</v>
      </c>
      <c r="E17" s="175"/>
      <c r="F17" s="176" t="e">
        <f t="shared" si="1"/>
        <v>#REF!</v>
      </c>
      <c r="G17" s="175"/>
      <c r="H17" s="177" t="e">
        <f>#REF!</f>
        <v>#REF!</v>
      </c>
      <c r="I17" s="178" t="e">
        <f t="shared" si="2"/>
        <v>#REF!</v>
      </c>
      <c r="J17" s="178" t="e">
        <f>#REF!</f>
        <v>#REF!</v>
      </c>
      <c r="K17" s="178" t="e">
        <f>#REF!</f>
        <v>#REF!</v>
      </c>
      <c r="L17" s="178" t="e">
        <f>#REF!</f>
        <v>#REF!</v>
      </c>
      <c r="M17" s="178" t="e">
        <f>#REF!</f>
        <v>#REF!</v>
      </c>
      <c r="N17" s="178" t="e">
        <f t="shared" si="3"/>
        <v>#REF!</v>
      </c>
      <c r="O17" s="178" t="e">
        <f t="shared" si="4"/>
        <v>#REF!</v>
      </c>
      <c r="P17" s="178" t="e">
        <f t="shared" si="5"/>
        <v>#REF!</v>
      </c>
      <c r="Q17" s="178" t="e">
        <f t="shared" si="6"/>
        <v>#REF!</v>
      </c>
      <c r="R17" s="178">
        <v>0.2</v>
      </c>
      <c r="S17" s="178" t="e">
        <f t="shared" si="7"/>
        <v>#REF!</v>
      </c>
      <c r="T17" s="178">
        <v>1.605</v>
      </c>
      <c r="U17" s="178" t="e">
        <f t="shared" si="8"/>
        <v>#REF!</v>
      </c>
      <c r="V17" s="178" t="e">
        <f t="shared" si="9"/>
        <v>#REF!</v>
      </c>
      <c r="W17" s="178" t="e">
        <f t="shared" si="10"/>
        <v>#REF!</v>
      </c>
      <c r="X17" s="179" t="e">
        <f t="shared" si="11"/>
        <v>#REF!</v>
      </c>
      <c r="Y17" s="179" t="e">
        <f t="shared" si="12"/>
        <v>#REF!</v>
      </c>
      <c r="Z17" s="180" t="e">
        <f t="shared" si="13"/>
        <v>#REF!</v>
      </c>
    </row>
    <row r="18" spans="1:28" ht="13.5">
      <c r="A18" s="131" t="e">
        <f>#REF!</f>
        <v>#REF!</v>
      </c>
      <c r="B18" s="122" t="e">
        <f>#REF!</f>
        <v>#REF!</v>
      </c>
      <c r="C18" s="122" t="e">
        <f>#REF!</f>
        <v>#REF!</v>
      </c>
      <c r="D18" s="175" t="e">
        <f t="shared" si="0"/>
        <v>#REF!</v>
      </c>
      <c r="E18" s="175"/>
      <c r="F18" s="176" t="e">
        <f t="shared" si="1"/>
        <v>#REF!</v>
      </c>
      <c r="G18" s="175"/>
      <c r="H18" s="177" t="e">
        <f>#REF!</f>
        <v>#REF!</v>
      </c>
      <c r="I18" s="178" t="e">
        <f t="shared" si="2"/>
        <v>#REF!</v>
      </c>
      <c r="J18" s="178" t="e">
        <f>#REF!</f>
        <v>#REF!</v>
      </c>
      <c r="K18" s="178" t="e">
        <f>#REF!</f>
        <v>#REF!</v>
      </c>
      <c r="L18" s="178" t="e">
        <f>#REF!</f>
        <v>#REF!</v>
      </c>
      <c r="M18" s="178" t="e">
        <f>#REF!</f>
        <v>#REF!</v>
      </c>
      <c r="N18" s="178" t="e">
        <f t="shared" si="3"/>
        <v>#REF!</v>
      </c>
      <c r="O18" s="178" t="e">
        <f t="shared" si="4"/>
        <v>#REF!</v>
      </c>
      <c r="P18" s="178" t="e">
        <f t="shared" si="5"/>
        <v>#REF!</v>
      </c>
      <c r="Q18" s="178" t="e">
        <f t="shared" si="6"/>
        <v>#REF!</v>
      </c>
      <c r="R18" s="178">
        <v>0.2</v>
      </c>
      <c r="S18" s="178" t="e">
        <f t="shared" si="7"/>
        <v>#REF!</v>
      </c>
      <c r="T18" s="178">
        <v>1.605</v>
      </c>
      <c r="U18" s="178" t="e">
        <f t="shared" si="8"/>
        <v>#REF!</v>
      </c>
      <c r="V18" s="178" t="e">
        <f t="shared" si="9"/>
        <v>#REF!</v>
      </c>
      <c r="W18" s="178" t="e">
        <f t="shared" si="10"/>
        <v>#REF!</v>
      </c>
      <c r="X18" s="179" t="e">
        <f t="shared" si="11"/>
        <v>#REF!</v>
      </c>
      <c r="Y18" s="179" t="e">
        <f t="shared" si="12"/>
        <v>#REF!</v>
      </c>
      <c r="Z18" s="180" t="e">
        <f t="shared" si="13"/>
        <v>#REF!</v>
      </c>
    </row>
    <row r="19" spans="1:28" ht="13.5">
      <c r="A19" s="131" t="e">
        <f>#REF!</f>
        <v>#REF!</v>
      </c>
      <c r="B19" s="122" t="e">
        <f>#REF!</f>
        <v>#REF!</v>
      </c>
      <c r="C19" s="122" t="e">
        <f>#REF!</f>
        <v>#REF!</v>
      </c>
      <c r="D19" s="175" t="e">
        <f t="shared" si="0"/>
        <v>#REF!</v>
      </c>
      <c r="E19" s="175"/>
      <c r="F19" s="176" t="e">
        <f t="shared" si="1"/>
        <v>#REF!</v>
      </c>
      <c r="G19" s="175"/>
      <c r="H19" s="177" t="e">
        <f>#REF!</f>
        <v>#REF!</v>
      </c>
      <c r="I19" s="178" t="e">
        <f t="shared" si="2"/>
        <v>#REF!</v>
      </c>
      <c r="J19" s="178" t="e">
        <f>#REF!</f>
        <v>#REF!</v>
      </c>
      <c r="K19" s="178" t="e">
        <f>#REF!</f>
        <v>#REF!</v>
      </c>
      <c r="L19" s="178" t="e">
        <f>#REF!</f>
        <v>#REF!</v>
      </c>
      <c r="M19" s="178" t="e">
        <f>#REF!</f>
        <v>#REF!</v>
      </c>
      <c r="N19" s="178" t="e">
        <f t="shared" si="3"/>
        <v>#REF!</v>
      </c>
      <c r="O19" s="178" t="e">
        <f t="shared" si="4"/>
        <v>#REF!</v>
      </c>
      <c r="P19" s="178" t="e">
        <f t="shared" si="5"/>
        <v>#REF!</v>
      </c>
      <c r="Q19" s="178" t="e">
        <f t="shared" si="6"/>
        <v>#REF!</v>
      </c>
      <c r="R19" s="178">
        <v>0.2</v>
      </c>
      <c r="S19" s="178" t="e">
        <f t="shared" si="7"/>
        <v>#REF!</v>
      </c>
      <c r="T19" s="178">
        <v>1.605</v>
      </c>
      <c r="U19" s="178" t="e">
        <f t="shared" si="8"/>
        <v>#REF!</v>
      </c>
      <c r="V19" s="178" t="e">
        <f t="shared" si="9"/>
        <v>#REF!</v>
      </c>
      <c r="W19" s="178" t="e">
        <f t="shared" si="10"/>
        <v>#REF!</v>
      </c>
      <c r="X19" s="179" t="e">
        <f t="shared" si="11"/>
        <v>#REF!</v>
      </c>
      <c r="Y19" s="179" t="e">
        <f t="shared" si="12"/>
        <v>#REF!</v>
      </c>
      <c r="Z19" s="180" t="e">
        <f t="shared" si="13"/>
        <v>#REF!</v>
      </c>
    </row>
    <row r="20" spans="1:28" ht="13.5">
      <c r="A20" s="131" t="e">
        <f>#REF!</f>
        <v>#REF!</v>
      </c>
      <c r="B20" s="122" t="e">
        <f>#REF!</f>
        <v>#REF!</v>
      </c>
      <c r="C20" s="122" t="e">
        <f>#REF!</f>
        <v>#REF!</v>
      </c>
      <c r="D20" s="175" t="e">
        <f t="shared" si="0"/>
        <v>#REF!</v>
      </c>
      <c r="E20" s="175"/>
      <c r="F20" s="176" t="e">
        <f t="shared" si="1"/>
        <v>#REF!</v>
      </c>
      <c r="G20" s="175"/>
      <c r="H20" s="177" t="e">
        <f>#REF!</f>
        <v>#REF!</v>
      </c>
      <c r="I20" s="178" t="e">
        <f t="shared" si="2"/>
        <v>#REF!</v>
      </c>
      <c r="J20" s="178" t="e">
        <f>#REF!</f>
        <v>#REF!</v>
      </c>
      <c r="K20" s="178" t="e">
        <f>#REF!</f>
        <v>#REF!</v>
      </c>
      <c r="L20" s="178" t="e">
        <f>#REF!</f>
        <v>#REF!</v>
      </c>
      <c r="M20" s="178" t="e">
        <f>#REF!</f>
        <v>#REF!</v>
      </c>
      <c r="N20" s="178" t="e">
        <f t="shared" si="3"/>
        <v>#REF!</v>
      </c>
      <c r="O20" s="178" t="e">
        <f t="shared" si="4"/>
        <v>#REF!</v>
      </c>
      <c r="P20" s="178" t="e">
        <f t="shared" si="5"/>
        <v>#REF!</v>
      </c>
      <c r="Q20" s="178" t="e">
        <f t="shared" si="6"/>
        <v>#REF!</v>
      </c>
      <c r="R20" s="178">
        <v>0.2</v>
      </c>
      <c r="S20" s="178" t="e">
        <f t="shared" si="7"/>
        <v>#REF!</v>
      </c>
      <c r="T20" s="178">
        <v>1.605</v>
      </c>
      <c r="U20" s="178" t="e">
        <f t="shared" si="8"/>
        <v>#REF!</v>
      </c>
      <c r="V20" s="178" t="e">
        <f t="shared" si="9"/>
        <v>#REF!</v>
      </c>
      <c r="W20" s="178" t="e">
        <f t="shared" si="10"/>
        <v>#REF!</v>
      </c>
      <c r="X20" s="179" t="e">
        <f t="shared" si="11"/>
        <v>#REF!</v>
      </c>
      <c r="Y20" s="179" t="e">
        <f t="shared" si="12"/>
        <v>#REF!</v>
      </c>
      <c r="Z20" s="180" t="e">
        <f t="shared" si="13"/>
        <v>#REF!</v>
      </c>
    </row>
    <row r="21" spans="1:28" ht="13.5">
      <c r="A21" s="131" t="e">
        <f>#REF!</f>
        <v>#REF!</v>
      </c>
      <c r="B21" s="122" t="e">
        <f>#REF!</f>
        <v>#REF!</v>
      </c>
      <c r="C21" s="122" t="e">
        <f>#REF!</f>
        <v>#REF!</v>
      </c>
      <c r="D21" s="175" t="e">
        <f t="shared" si="0"/>
        <v>#REF!</v>
      </c>
      <c r="E21" s="175"/>
      <c r="F21" s="176" t="e">
        <f t="shared" si="1"/>
        <v>#REF!</v>
      </c>
      <c r="G21" s="175"/>
      <c r="H21" s="177" t="e">
        <f>#REF!</f>
        <v>#REF!</v>
      </c>
      <c r="I21" s="178" t="e">
        <f t="shared" si="2"/>
        <v>#REF!</v>
      </c>
      <c r="J21" s="178" t="e">
        <f>#REF!</f>
        <v>#REF!</v>
      </c>
      <c r="K21" s="178" t="e">
        <f>#REF!</f>
        <v>#REF!</v>
      </c>
      <c r="L21" s="178" t="e">
        <f>#REF!</f>
        <v>#REF!</v>
      </c>
      <c r="M21" s="178" t="e">
        <f>#REF!</f>
        <v>#REF!</v>
      </c>
      <c r="N21" s="178" t="e">
        <f t="shared" si="3"/>
        <v>#REF!</v>
      </c>
      <c r="O21" s="178" t="e">
        <f t="shared" si="4"/>
        <v>#REF!</v>
      </c>
      <c r="P21" s="178" t="e">
        <f t="shared" si="5"/>
        <v>#REF!</v>
      </c>
      <c r="Q21" s="178" t="e">
        <f t="shared" si="6"/>
        <v>#REF!</v>
      </c>
      <c r="R21" s="178">
        <v>0.2</v>
      </c>
      <c r="S21" s="178" t="e">
        <f t="shared" si="7"/>
        <v>#REF!</v>
      </c>
      <c r="T21" s="178">
        <v>1.605</v>
      </c>
      <c r="U21" s="178" t="e">
        <f t="shared" si="8"/>
        <v>#REF!</v>
      </c>
      <c r="V21" s="178" t="e">
        <f t="shared" si="9"/>
        <v>#REF!</v>
      </c>
      <c r="W21" s="178" t="e">
        <f t="shared" si="10"/>
        <v>#REF!</v>
      </c>
      <c r="X21" s="179" t="e">
        <f t="shared" si="11"/>
        <v>#REF!</v>
      </c>
      <c r="Y21" s="179" t="e">
        <f t="shared" si="12"/>
        <v>#REF!</v>
      </c>
      <c r="Z21" s="180" t="e">
        <f t="shared" si="13"/>
        <v>#REF!</v>
      </c>
    </row>
    <row r="22" spans="1:28" ht="13.5">
      <c r="A22" s="131" t="e">
        <f>#REF!</f>
        <v>#REF!</v>
      </c>
      <c r="B22" s="122" t="e">
        <f>#REF!</f>
        <v>#REF!</v>
      </c>
      <c r="C22" s="122" t="e">
        <f>#REF!</f>
        <v>#REF!</v>
      </c>
      <c r="D22" s="175" t="e">
        <f t="shared" si="0"/>
        <v>#REF!</v>
      </c>
      <c r="E22" s="175"/>
      <c r="F22" s="176" t="e">
        <f t="shared" si="1"/>
        <v>#REF!</v>
      </c>
      <c r="G22" s="175"/>
      <c r="H22" s="177" t="e">
        <f>#REF!</f>
        <v>#REF!</v>
      </c>
      <c r="I22" s="178" t="e">
        <f t="shared" si="2"/>
        <v>#REF!</v>
      </c>
      <c r="J22" s="178" t="e">
        <f>#REF!</f>
        <v>#REF!</v>
      </c>
      <c r="K22" s="178" t="e">
        <f>#REF!</f>
        <v>#REF!</v>
      </c>
      <c r="L22" s="178" t="e">
        <f>#REF!</f>
        <v>#REF!</v>
      </c>
      <c r="M22" s="178" t="e">
        <f>#REF!</f>
        <v>#REF!</v>
      </c>
      <c r="N22" s="178" t="e">
        <f t="shared" si="3"/>
        <v>#REF!</v>
      </c>
      <c r="O22" s="178" t="e">
        <f t="shared" si="4"/>
        <v>#REF!</v>
      </c>
      <c r="P22" s="178" t="e">
        <f t="shared" si="5"/>
        <v>#REF!</v>
      </c>
      <c r="Q22" s="178" t="e">
        <f t="shared" si="6"/>
        <v>#REF!</v>
      </c>
      <c r="R22" s="178">
        <v>0.2</v>
      </c>
      <c r="S22" s="178" t="e">
        <f t="shared" si="7"/>
        <v>#REF!</v>
      </c>
      <c r="T22" s="178">
        <v>1.605</v>
      </c>
      <c r="U22" s="178" t="e">
        <f t="shared" si="8"/>
        <v>#REF!</v>
      </c>
      <c r="V22" s="178" t="e">
        <f t="shared" si="9"/>
        <v>#REF!</v>
      </c>
      <c r="W22" s="178" t="e">
        <f t="shared" si="10"/>
        <v>#REF!</v>
      </c>
      <c r="X22" s="179" t="e">
        <f t="shared" si="11"/>
        <v>#REF!</v>
      </c>
      <c r="Y22" s="179" t="e">
        <f t="shared" si="12"/>
        <v>#REF!</v>
      </c>
      <c r="Z22" s="180" t="e">
        <f t="shared" si="13"/>
        <v>#REF!</v>
      </c>
    </row>
    <row r="23" spans="1:28" s="205" customFormat="1" ht="13.5">
      <c r="A23" s="215" t="e">
        <f>#REF!</f>
        <v>#REF!</v>
      </c>
      <c r="B23" s="208" t="e">
        <f>#REF!</f>
        <v>#REF!</v>
      </c>
      <c r="C23" s="208" t="e">
        <f>#REF!</f>
        <v>#REF!</v>
      </c>
      <c r="D23" s="209" t="e">
        <f t="shared" si="0"/>
        <v>#REF!</v>
      </c>
      <c r="E23" s="209"/>
      <c r="F23" s="210" t="e">
        <f t="shared" si="1"/>
        <v>#REF!</v>
      </c>
      <c r="G23" s="209"/>
      <c r="H23" s="211" t="e">
        <f>#REF!</f>
        <v>#REF!</v>
      </c>
      <c r="I23" s="212" t="e">
        <f t="shared" si="2"/>
        <v>#REF!</v>
      </c>
      <c r="J23" s="212" t="e">
        <f>#REF!</f>
        <v>#REF!</v>
      </c>
      <c r="K23" s="212" t="e">
        <f>#REF!</f>
        <v>#REF!</v>
      </c>
      <c r="L23" s="212" t="e">
        <f>#REF!</f>
        <v>#REF!</v>
      </c>
      <c r="M23" s="212" t="e">
        <f>#REF!</f>
        <v>#REF!</v>
      </c>
      <c r="N23" s="212" t="e">
        <f t="shared" si="3"/>
        <v>#REF!</v>
      </c>
      <c r="O23" s="212" t="e">
        <f t="shared" si="4"/>
        <v>#REF!</v>
      </c>
      <c r="P23" s="212" t="e">
        <f t="shared" si="5"/>
        <v>#REF!</v>
      </c>
      <c r="Q23" s="212" t="e">
        <f t="shared" si="6"/>
        <v>#REF!</v>
      </c>
      <c r="R23" s="212">
        <v>0.2</v>
      </c>
      <c r="S23" s="212" t="e">
        <f t="shared" si="7"/>
        <v>#REF!</v>
      </c>
      <c r="T23" s="212">
        <v>1.605</v>
      </c>
      <c r="U23" s="212" t="e">
        <f t="shared" si="8"/>
        <v>#REF!</v>
      </c>
      <c r="V23" s="212" t="e">
        <f t="shared" si="9"/>
        <v>#REF!</v>
      </c>
      <c r="W23" s="212" t="e">
        <f t="shared" si="10"/>
        <v>#REF!</v>
      </c>
      <c r="X23" s="213" t="e">
        <f t="shared" si="11"/>
        <v>#REF!</v>
      </c>
      <c r="Y23" s="213" t="e">
        <f t="shared" si="12"/>
        <v>#REF!</v>
      </c>
      <c r="Z23" s="214" t="e">
        <f t="shared" si="13"/>
        <v>#REF!</v>
      </c>
    </row>
    <row r="24" spans="1:28" ht="13.5">
      <c r="A24" s="131" t="e">
        <f>#REF!</f>
        <v>#REF!</v>
      </c>
      <c r="B24" s="122" t="e">
        <f>#REF!</f>
        <v>#REF!</v>
      </c>
      <c r="C24" s="122" t="e">
        <f>#REF!</f>
        <v>#REF!</v>
      </c>
      <c r="D24" s="175" t="e">
        <f t="shared" si="0"/>
        <v>#REF!</v>
      </c>
      <c r="E24" s="175"/>
      <c r="F24" s="176" t="e">
        <f t="shared" si="1"/>
        <v>#REF!</v>
      </c>
      <c r="G24" s="175"/>
      <c r="H24" s="177" t="e">
        <f>#REF!</f>
        <v>#REF!</v>
      </c>
      <c r="I24" s="178" t="e">
        <f t="shared" si="2"/>
        <v>#REF!</v>
      </c>
      <c r="J24" s="178" t="e">
        <f>#REF!</f>
        <v>#REF!</v>
      </c>
      <c r="K24" s="178" t="e">
        <f>#REF!</f>
        <v>#REF!</v>
      </c>
      <c r="L24" s="178" t="e">
        <f>#REF!</f>
        <v>#REF!</v>
      </c>
      <c r="M24" s="178" t="e">
        <f>#REF!</f>
        <v>#REF!</v>
      </c>
      <c r="N24" s="178" t="e">
        <f t="shared" si="3"/>
        <v>#REF!</v>
      </c>
      <c r="O24" s="178" t="e">
        <f t="shared" si="4"/>
        <v>#REF!</v>
      </c>
      <c r="P24" s="178" t="e">
        <f t="shared" si="5"/>
        <v>#REF!</v>
      </c>
      <c r="Q24" s="178" t="e">
        <f t="shared" si="6"/>
        <v>#REF!</v>
      </c>
      <c r="R24" s="178">
        <v>0.2</v>
      </c>
      <c r="S24" s="178" t="e">
        <f t="shared" si="7"/>
        <v>#REF!</v>
      </c>
      <c r="T24" s="178">
        <v>1.605</v>
      </c>
      <c r="U24" s="178" t="e">
        <f t="shared" si="8"/>
        <v>#REF!</v>
      </c>
      <c r="V24" s="178" t="e">
        <f t="shared" si="9"/>
        <v>#REF!</v>
      </c>
      <c r="W24" s="178" t="e">
        <f t="shared" si="10"/>
        <v>#REF!</v>
      </c>
      <c r="X24" s="179" t="e">
        <f t="shared" si="11"/>
        <v>#REF!</v>
      </c>
      <c r="Y24" s="179" t="e">
        <f t="shared" si="12"/>
        <v>#REF!</v>
      </c>
      <c r="Z24" s="180" t="e">
        <f t="shared" si="13"/>
        <v>#REF!</v>
      </c>
    </row>
    <row r="25" spans="1:28" s="205" customFormat="1" ht="13.5">
      <c r="A25" s="206" t="s">
        <v>39</v>
      </c>
      <c r="B25" s="207">
        <v>9</v>
      </c>
      <c r="C25" s="208">
        <v>74</v>
      </c>
      <c r="D25" s="209"/>
      <c r="E25" s="209"/>
      <c r="F25" s="210">
        <v>1</v>
      </c>
      <c r="G25" s="209"/>
      <c r="H25" s="211"/>
      <c r="I25" s="212">
        <v>1.2</v>
      </c>
      <c r="J25" s="212">
        <f>209.18</f>
        <v>209.18</v>
      </c>
      <c r="K25" s="212">
        <v>205</v>
      </c>
      <c r="L25" s="212">
        <v>208.3</v>
      </c>
      <c r="M25" s="212">
        <v>203.35</v>
      </c>
      <c r="N25" s="212">
        <f t="shared" si="3"/>
        <v>1.7999999999999998</v>
      </c>
      <c r="O25" s="212">
        <f t="shared" si="4"/>
        <v>1.2650000000000006</v>
      </c>
      <c r="P25" s="212">
        <f>N25*(O25+R25)*C25</f>
        <v>328.33800000000008</v>
      </c>
      <c r="Q25" s="212">
        <f>N25*C25</f>
        <v>133.19999999999999</v>
      </c>
      <c r="R25" s="212">
        <v>1.2</v>
      </c>
      <c r="S25" s="212">
        <f>N25*R25*C25</f>
        <v>159.83999999999997</v>
      </c>
      <c r="T25" s="212">
        <v>2.605</v>
      </c>
      <c r="U25" s="212">
        <f>((3.1416*(I25^2))/4*C25)</f>
        <v>83.692223999999996</v>
      </c>
      <c r="V25" s="212">
        <f>IF(E25=0,P25-(S25+U25),P25-(2*U25+S25))</f>
        <v>84.805776000000094</v>
      </c>
      <c r="W25" s="212">
        <f>(P25-V25)*1.3</f>
        <v>316.59189119999996</v>
      </c>
      <c r="X25" s="213">
        <f>IF((O25+R25)&lt;=1.3,(O25+R25)*2*C25,0)</f>
        <v>0</v>
      </c>
      <c r="Y25" s="213">
        <f>IF((O25+R25)&lt;=$I$2,(O25+R25)*2*C25,0)-X25</f>
        <v>364.82000000000011</v>
      </c>
      <c r="Z25" s="214">
        <f>IF((O25+R25)&gt;$I$2,(O25+R25)*2*C25,0)</f>
        <v>0</v>
      </c>
    </row>
    <row r="26" spans="1:28" s="205" customFormat="1" ht="13.5">
      <c r="A26" s="206">
        <v>6</v>
      </c>
      <c r="B26" s="207">
        <v>9</v>
      </c>
      <c r="C26" s="208">
        <v>67</v>
      </c>
      <c r="D26" s="209"/>
      <c r="E26" s="209"/>
      <c r="F26" s="210">
        <v>1</v>
      </c>
      <c r="G26" s="209"/>
      <c r="H26" s="211"/>
      <c r="I26" s="212">
        <v>1.2</v>
      </c>
      <c r="J26" s="212">
        <v>211</v>
      </c>
      <c r="K26" s="212">
        <v>205</v>
      </c>
      <c r="L26" s="212">
        <v>207.88</v>
      </c>
      <c r="M26" s="212">
        <v>203.35</v>
      </c>
      <c r="N26" s="212">
        <f t="shared" si="3"/>
        <v>1.7999999999999998</v>
      </c>
      <c r="O26" s="212">
        <f t="shared" si="4"/>
        <v>2.3850000000000051</v>
      </c>
      <c r="P26" s="212">
        <f>N26*(O26+R26)*C26</f>
        <v>552.95100000000059</v>
      </c>
      <c r="Q26" s="212">
        <f>N26*C26</f>
        <v>120.6</v>
      </c>
      <c r="R26" s="212">
        <v>2.2000000000000002</v>
      </c>
      <c r="S26" s="212">
        <f>N26*R26*C26</f>
        <v>265.32</v>
      </c>
      <c r="T26" s="212">
        <v>3.605</v>
      </c>
      <c r="U26" s="212">
        <f>((3.1416*(I26^2))/4*C26)</f>
        <v>75.775391999999997</v>
      </c>
      <c r="V26" s="212">
        <f>IF(E26=0,P26-(S26+U26),P26-(2*U26+S26))</f>
        <v>211.85560800000059</v>
      </c>
      <c r="W26" s="212">
        <f>(P26-V26)*1.3</f>
        <v>443.42400960000003</v>
      </c>
      <c r="X26" s="213">
        <f>IF((O26+R26)&lt;=1.3,(O26+R26)*2*C26,0)</f>
        <v>0</v>
      </c>
      <c r="Y26" s="213">
        <f>IF((O26+R26)&lt;=$I$2,(O26+R26)*2*C26,0)-X26</f>
        <v>0</v>
      </c>
      <c r="Z26" s="214">
        <f>IF((O26+R26)&gt;$I$2,(O26+R26)*2*C26,0)</f>
        <v>614.39000000000067</v>
      </c>
    </row>
    <row r="27" spans="1:28" ht="13.5">
      <c r="A27" s="131">
        <v>10</v>
      </c>
      <c r="B27" s="122">
        <v>11</v>
      </c>
      <c r="C27" s="122">
        <v>44</v>
      </c>
      <c r="D27" s="175"/>
      <c r="E27" s="175"/>
      <c r="F27" s="176">
        <v>1</v>
      </c>
      <c r="G27" s="175"/>
      <c r="H27" s="177"/>
      <c r="I27" s="178">
        <v>1.2</v>
      </c>
      <c r="J27" s="178">
        <v>206.25</v>
      </c>
      <c r="K27" s="178">
        <v>201.5</v>
      </c>
      <c r="L27" s="178">
        <v>203.28</v>
      </c>
      <c r="M27" s="178">
        <v>200.2</v>
      </c>
      <c r="N27" s="212">
        <f>IF(E27=0,I27+0.6,2*I27+0.6+0.5)</f>
        <v>1.7999999999999998</v>
      </c>
      <c r="O27" s="212">
        <f>((J27-L27)+(K27-M27))/2</f>
        <v>2.1350000000000051</v>
      </c>
      <c r="P27" s="212">
        <f>N27*(O27+R27)*C27</f>
        <v>422.53200000000038</v>
      </c>
      <c r="Q27" s="212">
        <f>N27*C27</f>
        <v>79.199999999999989</v>
      </c>
      <c r="R27" s="212">
        <v>3.2</v>
      </c>
      <c r="S27" s="212">
        <f>N27*R27*C27</f>
        <v>253.44</v>
      </c>
      <c r="T27" s="212">
        <v>4.6050000000000004</v>
      </c>
      <c r="U27" s="212">
        <f>((3.1416*(I27^2))/4*C27)</f>
        <v>49.762943999999997</v>
      </c>
      <c r="V27" s="212">
        <f>IF(E27=0,P27-(S27+U27),P27-(2*U27+S27))</f>
        <v>119.32905600000038</v>
      </c>
      <c r="W27" s="212">
        <f>(P27-V27)*1.3</f>
        <v>394.16382720000001</v>
      </c>
      <c r="X27" s="213">
        <f>IF((O27+R27)&lt;=1.3,(O27+R27)*2*C27,0)</f>
        <v>0</v>
      </c>
      <c r="Y27" s="213">
        <f>IF((O27+R27)&lt;=$I$2,(O27+R27)*2*C27,0)-X27</f>
        <v>0</v>
      </c>
      <c r="Z27" s="214">
        <f>IF((O27+R27)&gt;$I$2,(O27+R27)*2*C27,0)</f>
        <v>469.48000000000047</v>
      </c>
    </row>
    <row r="28" spans="1:28" ht="13.5">
      <c r="A28" s="131"/>
      <c r="B28" s="122"/>
      <c r="C28" s="122"/>
      <c r="D28" s="175"/>
      <c r="E28" s="175"/>
      <c r="F28" s="176"/>
      <c r="G28" s="175"/>
      <c r="H28" s="177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9"/>
      <c r="Y28" s="179"/>
      <c r="Z28" s="180"/>
    </row>
    <row r="29" spans="1:28" ht="13.5">
      <c r="A29" s="131"/>
      <c r="B29" s="122"/>
      <c r="C29" s="122"/>
      <c r="D29" s="175"/>
      <c r="E29" s="175"/>
      <c r="F29" s="176"/>
      <c r="G29" s="175"/>
      <c r="H29" s="177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9"/>
      <c r="Y29" s="179"/>
      <c r="Z29" s="180"/>
    </row>
    <row r="30" spans="1:28" ht="13.5">
      <c r="A30" s="131"/>
      <c r="B30" s="122"/>
      <c r="C30" s="122"/>
      <c r="D30" s="175"/>
      <c r="E30" s="175"/>
      <c r="F30" s="176"/>
      <c r="G30" s="175"/>
      <c r="H30" s="177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9"/>
      <c r="Y30" s="179"/>
      <c r="Z30" s="180"/>
      <c r="AB30" s="204"/>
    </row>
    <row r="31" spans="1:28" ht="13.5">
      <c r="A31" s="131"/>
      <c r="B31" s="122"/>
      <c r="C31" s="122"/>
      <c r="D31" s="175"/>
      <c r="E31" s="175"/>
      <c r="F31" s="176"/>
      <c r="G31" s="175"/>
      <c r="H31" s="177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9"/>
      <c r="Y31" s="179"/>
      <c r="Z31" s="180"/>
    </row>
    <row r="32" spans="1:28" ht="13.5">
      <c r="A32" s="131"/>
      <c r="B32" s="122"/>
      <c r="C32" s="122"/>
      <c r="D32" s="175"/>
      <c r="E32" s="175"/>
      <c r="F32" s="176"/>
      <c r="G32" s="175"/>
      <c r="H32" s="177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9"/>
      <c r="Y32" s="179"/>
      <c r="Z32" s="180"/>
    </row>
    <row r="33" spans="1:26" ht="13.5">
      <c r="A33" s="131"/>
      <c r="B33" s="122"/>
      <c r="C33" s="122"/>
      <c r="D33" s="175"/>
      <c r="E33" s="175"/>
      <c r="F33" s="176"/>
      <c r="G33" s="175"/>
      <c r="H33" s="177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9"/>
      <c r="Y33" s="179"/>
      <c r="Z33" s="180"/>
    </row>
    <row r="34" spans="1:26" ht="13.5">
      <c r="A34" s="131"/>
      <c r="B34" s="122"/>
      <c r="C34" s="122"/>
      <c r="D34" s="175"/>
      <c r="E34" s="175"/>
      <c r="F34" s="176"/>
      <c r="G34" s="175"/>
      <c r="H34" s="177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9"/>
      <c r="Y34" s="179"/>
      <c r="Z34" s="180"/>
    </row>
    <row r="35" spans="1:26" ht="13.5">
      <c r="A35" s="131"/>
      <c r="B35" s="122"/>
      <c r="C35" s="122"/>
      <c r="D35" s="175"/>
      <c r="E35" s="175"/>
      <c r="F35" s="176"/>
      <c r="G35" s="175"/>
      <c r="H35" s="177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9"/>
      <c r="Y35" s="179"/>
      <c r="Z35" s="180"/>
    </row>
    <row r="36" spans="1:26" ht="13.5">
      <c r="A36" s="131"/>
      <c r="B36" s="122"/>
      <c r="C36" s="122"/>
      <c r="D36" s="175"/>
      <c r="E36" s="175"/>
      <c r="F36" s="176"/>
      <c r="G36" s="175"/>
      <c r="H36" s="177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9"/>
      <c r="Y36" s="179"/>
      <c r="Z36" s="180"/>
    </row>
    <row r="37" spans="1:26" ht="13.5">
      <c r="A37" s="131"/>
      <c r="B37" s="122"/>
      <c r="C37" s="122"/>
      <c r="D37" s="175"/>
      <c r="E37" s="175"/>
      <c r="F37" s="176"/>
      <c r="G37" s="175"/>
      <c r="H37" s="177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9"/>
      <c r="Y37" s="179"/>
      <c r="Z37" s="180"/>
    </row>
    <row r="38" spans="1:26" ht="13.5">
      <c r="A38" s="131"/>
      <c r="B38" s="122"/>
      <c r="C38" s="122"/>
      <c r="D38" s="175"/>
      <c r="E38" s="175"/>
      <c r="F38" s="176"/>
      <c r="G38" s="175"/>
      <c r="H38" s="177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9"/>
      <c r="Y38" s="179"/>
      <c r="Z38" s="180"/>
    </row>
    <row r="39" spans="1:26" ht="21.75" customHeight="1">
      <c r="A39" s="511" t="s">
        <v>40</v>
      </c>
      <c r="B39" s="512"/>
      <c r="C39" s="122" t="e">
        <f>#REF!</f>
        <v>#REF!</v>
      </c>
      <c r="D39" s="175"/>
      <c r="E39" s="175"/>
      <c r="F39" s="176">
        <v>0.5</v>
      </c>
      <c r="G39" s="175"/>
      <c r="H39" s="177" t="e">
        <f>#REF!</f>
        <v>#REF!</v>
      </c>
      <c r="I39" s="178">
        <f>F39*1.2</f>
        <v>0.6</v>
      </c>
      <c r="J39" s="181"/>
      <c r="K39" s="178"/>
      <c r="L39" s="181"/>
      <c r="M39" s="178"/>
      <c r="N39" s="178">
        <f>I39+0.6</f>
        <v>1.2</v>
      </c>
      <c r="O39" s="178">
        <v>1.2</v>
      </c>
      <c r="P39" s="178" t="e">
        <f>N39*(O39+R39)*C39</f>
        <v>#REF!</v>
      </c>
      <c r="Q39" s="178" t="e">
        <f>N39*C39</f>
        <v>#REF!</v>
      </c>
      <c r="R39" s="178">
        <v>0.2</v>
      </c>
      <c r="S39" s="178" t="e">
        <f>N39*R39*C39</f>
        <v>#REF!</v>
      </c>
      <c r="T39" s="178">
        <v>1.4</v>
      </c>
      <c r="U39" s="178" t="e">
        <f>((3.1416*(I39^2))/4*C39)</f>
        <v>#REF!</v>
      </c>
      <c r="V39" s="178" t="e">
        <f>IF(E39=0,P39-(S39+U39),P39-(2*U39+S39))</f>
        <v>#REF!</v>
      </c>
      <c r="W39" s="178" t="e">
        <f>(P39-V39)*1.3</f>
        <v>#REF!</v>
      </c>
      <c r="X39" s="179">
        <f>IF((O39+R39)&lt;=1.3,(O39+R39)*2*C39,0)</f>
        <v>0</v>
      </c>
      <c r="Y39" s="179" t="e">
        <f>IF((O39+R39)&lt;=$I$2,(O39+R39)*2*C39,0)-X39</f>
        <v>#REF!</v>
      </c>
      <c r="Z39" s="180">
        <f>IF((O39+R39)&gt;$I$2,(O39+R39)*2*C39,0)</f>
        <v>0</v>
      </c>
    </row>
    <row r="40" spans="1:26" ht="13.5">
      <c r="A40" s="182"/>
      <c r="B40" s="183"/>
      <c r="C40" s="184"/>
      <c r="D40" s="185"/>
      <c r="E40" s="185"/>
      <c r="F40" s="186"/>
      <c r="G40" s="187"/>
      <c r="H40" s="188"/>
      <c r="I40" s="189"/>
      <c r="J40" s="190"/>
      <c r="K40" s="189"/>
      <c r="L40" s="190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91"/>
      <c r="Y40" s="191"/>
      <c r="Z40" s="192"/>
    </row>
    <row r="41" spans="1:26" s="203" customFormat="1" ht="16.5" thickBot="1">
      <c r="A41" s="193"/>
      <c r="B41" s="194" t="s">
        <v>41</v>
      </c>
      <c r="C41" s="195"/>
      <c r="D41" s="196"/>
      <c r="E41" s="196"/>
      <c r="F41" s="197"/>
      <c r="G41" s="196"/>
      <c r="H41" s="198"/>
      <c r="I41" s="199"/>
      <c r="J41" s="200"/>
      <c r="K41" s="199"/>
      <c r="L41" s="200"/>
      <c r="M41" s="199"/>
      <c r="N41" s="199"/>
      <c r="O41" s="199"/>
      <c r="P41" s="194" t="e">
        <f>SUM(P13:P40)</f>
        <v>#REF!</v>
      </c>
      <c r="Q41" s="194" t="e">
        <f>SUM(Q13:Q40)</f>
        <v>#REF!</v>
      </c>
      <c r="R41" s="199"/>
      <c r="S41" s="194" t="e">
        <f>SUM(S13:S40)</f>
        <v>#REF!</v>
      </c>
      <c r="T41" s="199"/>
      <c r="U41" s="199"/>
      <c r="V41" s="194" t="e">
        <f>SUM(V13:V40)</f>
        <v>#REF!</v>
      </c>
      <c r="W41" s="194" t="e">
        <f>SUM(W13:W40)</f>
        <v>#REF!</v>
      </c>
      <c r="X41" s="201"/>
      <c r="Y41" s="194" t="e">
        <f>SUM(Y14:Y40)</f>
        <v>#REF!</v>
      </c>
      <c r="Z41" s="202" t="e">
        <f>SUM(Z13:Z40)</f>
        <v>#REF!</v>
      </c>
    </row>
    <row r="43" spans="1:26">
      <c r="B43" s="205"/>
      <c r="F43" t="s">
        <v>42</v>
      </c>
      <c r="P43" s="204" t="e">
        <f>SUM(P15,P23,P25:P26)</f>
        <v>#REF!</v>
      </c>
      <c r="Q43" s="204" t="e">
        <f t="shared" ref="Q43:Z43" si="14">SUM(Q15,Q23,Q25:Q26)</f>
        <v>#REF!</v>
      </c>
      <c r="R43" s="204"/>
      <c r="S43" s="204" t="e">
        <f t="shared" si="14"/>
        <v>#REF!</v>
      </c>
      <c r="T43" s="204">
        <f t="shared" si="14"/>
        <v>9.42</v>
      </c>
      <c r="U43" s="204"/>
      <c r="V43" s="204" t="e">
        <f t="shared" si="14"/>
        <v>#REF!</v>
      </c>
      <c r="W43" s="204" t="e">
        <f t="shared" si="14"/>
        <v>#REF!</v>
      </c>
      <c r="X43" s="204"/>
      <c r="Y43" s="204" t="e">
        <f t="shared" si="14"/>
        <v>#REF!</v>
      </c>
      <c r="Z43" s="204" t="e">
        <f t="shared" si="14"/>
        <v>#REF!</v>
      </c>
    </row>
    <row r="45" spans="1:26">
      <c r="P45" s="204" t="e">
        <f>P41-P43</f>
        <v>#REF!</v>
      </c>
      <c r="Q45" s="204" t="e">
        <f t="shared" ref="Q45:Z45" si="15">Q41-Q43</f>
        <v>#REF!</v>
      </c>
      <c r="R45" s="204"/>
      <c r="S45" s="204" t="e">
        <f t="shared" si="15"/>
        <v>#REF!</v>
      </c>
      <c r="T45" s="204">
        <f t="shared" si="15"/>
        <v>-9.42</v>
      </c>
      <c r="U45" s="204"/>
      <c r="V45" s="204" t="e">
        <f t="shared" si="15"/>
        <v>#REF!</v>
      </c>
      <c r="W45" s="204" t="e">
        <f t="shared" si="15"/>
        <v>#REF!</v>
      </c>
      <c r="X45" s="204"/>
      <c r="Y45" s="204" t="e">
        <f t="shared" si="15"/>
        <v>#REF!</v>
      </c>
      <c r="Z45" s="204" t="e">
        <f t="shared" si="15"/>
        <v>#REF!</v>
      </c>
    </row>
  </sheetData>
  <mergeCells count="8">
    <mergeCell ref="L11:M11"/>
    <mergeCell ref="R11:S11"/>
    <mergeCell ref="X11:Z11"/>
    <mergeCell ref="E12:F12"/>
    <mergeCell ref="A39:B39"/>
    <mergeCell ref="A11:B11"/>
    <mergeCell ref="E11:I11"/>
    <mergeCell ref="J11:K11"/>
  </mergeCells>
  <pageMargins left="0.35433070866141736" right="0.19685039370078741" top="0.9055118110236221" bottom="0.39370078740157483" header="0.35433070866141736" footer="0.27559055118110237"/>
  <pageSetup paperSize="9" scale="7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1759C-0CB6-497B-A225-9EBDC236EDEB}">
  <dimension ref="A1:AR39"/>
  <sheetViews>
    <sheetView showGridLines="0" zoomScale="115" zoomScaleNormal="115" workbookViewId="0">
      <selection activeCell="M13" sqref="M13:N34"/>
    </sheetView>
  </sheetViews>
  <sheetFormatPr defaultRowHeight="12.75"/>
  <cols>
    <col min="1" max="1" width="9.28515625" bestFit="1" customWidth="1"/>
    <col min="3" max="3" width="8.42578125" hidden="1" customWidth="1"/>
    <col min="4" max="4" width="8.42578125" style="34" customWidth="1"/>
    <col min="5" max="10" width="5.85546875" customWidth="1"/>
    <col min="11" max="11" width="5.85546875" style="95" hidden="1" customWidth="1"/>
    <col min="12" max="17" width="5.85546875" style="6" customWidth="1"/>
    <col min="18" max="19" width="5.85546875" style="6" hidden="1" customWidth="1"/>
    <col min="20" max="20" width="6.7109375" customWidth="1"/>
    <col min="21" max="31" width="5.85546875" hidden="1" customWidth="1"/>
    <col min="32" max="33" width="5.85546875" style="95" hidden="1" customWidth="1"/>
    <col min="34" max="39" width="5.85546875" hidden="1" customWidth="1"/>
    <col min="40" max="40" width="4" hidden="1" customWidth="1"/>
    <col min="41" max="41" width="6.28515625" hidden="1" customWidth="1"/>
    <col min="42" max="42" width="6.42578125" hidden="1" customWidth="1"/>
    <col min="43" max="43" width="6.140625" hidden="1" customWidth="1"/>
  </cols>
  <sheetData>
    <row r="1" spans="1:44" ht="51" customHeight="1"/>
    <row r="2" spans="1:44" ht="16.5">
      <c r="A2" s="96" t="s">
        <v>4</v>
      </c>
      <c r="B2" s="96"/>
      <c r="C2" s="96"/>
      <c r="D2" s="96"/>
      <c r="E2" s="96"/>
      <c r="F2" s="96"/>
      <c r="G2" s="96"/>
      <c r="H2" s="96"/>
      <c r="I2" s="96"/>
      <c r="J2" s="96"/>
      <c r="K2" s="97"/>
      <c r="L2" s="98"/>
      <c r="M2" s="98"/>
      <c r="N2" s="99"/>
      <c r="O2" s="99"/>
      <c r="P2" s="99"/>
      <c r="Q2" s="99"/>
      <c r="R2" s="99"/>
      <c r="S2" s="99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1"/>
      <c r="AG2" s="101"/>
    </row>
    <row r="3" spans="1:44" ht="16.5">
      <c r="A3" s="96" t="s">
        <v>5</v>
      </c>
      <c r="B3" s="99"/>
      <c r="C3" s="102"/>
      <c r="D3" s="102"/>
      <c r="E3" s="102"/>
      <c r="F3" s="102"/>
      <c r="G3" s="102"/>
      <c r="H3" s="103"/>
      <c r="I3" s="103"/>
      <c r="J3" s="99"/>
      <c r="K3" s="99"/>
      <c r="L3" s="99"/>
      <c r="M3" s="99"/>
      <c r="N3" s="99"/>
      <c r="O3" s="99"/>
      <c r="P3" s="99"/>
      <c r="Q3" s="99"/>
      <c r="R3" s="99"/>
      <c r="S3" s="99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1"/>
      <c r="AG3" s="101"/>
    </row>
    <row r="4" spans="1:44" ht="17.25" thickBot="1">
      <c r="A4" s="96" t="s">
        <v>43</v>
      </c>
      <c r="B4" s="99"/>
      <c r="C4" s="102"/>
      <c r="D4" s="102"/>
      <c r="E4" s="102"/>
      <c r="F4" s="102"/>
      <c r="G4" s="102"/>
      <c r="H4" s="103"/>
      <c r="I4" s="103"/>
      <c r="J4" s="99"/>
      <c r="K4" s="99"/>
      <c r="L4" s="99"/>
      <c r="M4" s="99"/>
      <c r="N4" s="99"/>
      <c r="O4" s="99"/>
      <c r="P4" s="99"/>
      <c r="Q4" s="99"/>
      <c r="R4" s="99"/>
      <c r="S4" s="99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1"/>
      <c r="AG4" s="101"/>
    </row>
    <row r="5" spans="1:44" ht="15.75" thickBot="1">
      <c r="A5" s="521" t="s">
        <v>8</v>
      </c>
      <c r="B5" s="522"/>
      <c r="C5" s="104"/>
      <c r="D5" s="105" t="s">
        <v>44</v>
      </c>
      <c r="E5" s="521" t="s">
        <v>45</v>
      </c>
      <c r="F5" s="523"/>
      <c r="G5" s="523"/>
      <c r="H5" s="523"/>
      <c r="I5" s="523"/>
      <c r="J5" s="522"/>
      <c r="K5" s="106"/>
      <c r="L5" s="524" t="s">
        <v>46</v>
      </c>
      <c r="M5" s="524"/>
      <c r="N5" s="524"/>
      <c r="O5" s="524"/>
      <c r="P5" s="524"/>
      <c r="Q5" s="524"/>
      <c r="R5" s="524"/>
      <c r="S5" s="524"/>
      <c r="T5" s="524"/>
      <c r="U5" s="524"/>
      <c r="V5" s="524"/>
      <c r="W5" s="524"/>
      <c r="X5" s="524"/>
      <c r="Y5" s="524"/>
      <c r="Z5" s="524"/>
      <c r="AA5" s="524"/>
      <c r="AB5" s="524"/>
      <c r="AC5" s="524"/>
      <c r="AD5" s="524"/>
      <c r="AE5" s="524"/>
      <c r="AF5" s="524"/>
      <c r="AG5" s="524"/>
      <c r="AH5" s="514" t="s">
        <v>47</v>
      </c>
      <c r="AI5" s="514"/>
      <c r="AJ5" s="514"/>
      <c r="AK5" s="514"/>
      <c r="AL5" s="514"/>
      <c r="AM5" s="514"/>
      <c r="AN5" s="107"/>
      <c r="AO5" s="107"/>
      <c r="AP5" s="107"/>
      <c r="AQ5" s="107"/>
      <c r="AR5" s="108"/>
    </row>
    <row r="6" spans="1:44" s="6" customFormat="1" ht="15">
      <c r="A6" s="109" t="s">
        <v>22</v>
      </c>
      <c r="B6" s="110" t="s">
        <v>23</v>
      </c>
      <c r="C6" s="111" t="s">
        <v>9</v>
      </c>
      <c r="D6" s="110" t="s">
        <v>48</v>
      </c>
      <c r="E6" s="110">
        <v>400</v>
      </c>
      <c r="F6" s="110">
        <v>500</v>
      </c>
      <c r="G6" s="110">
        <v>600</v>
      </c>
      <c r="H6" s="110">
        <v>800</v>
      </c>
      <c r="I6" s="110">
        <v>1000</v>
      </c>
      <c r="J6" s="110">
        <v>1200</v>
      </c>
      <c r="K6" s="101" t="s">
        <v>49</v>
      </c>
      <c r="L6" s="110">
        <v>400</v>
      </c>
      <c r="M6" s="110">
        <v>500</v>
      </c>
      <c r="N6" s="110">
        <v>600</v>
      </c>
      <c r="O6" s="110">
        <v>800</v>
      </c>
      <c r="P6" s="110">
        <v>1000</v>
      </c>
      <c r="Q6" s="110">
        <v>1200</v>
      </c>
      <c r="R6" s="112" t="s">
        <v>49</v>
      </c>
      <c r="S6" s="110" t="s">
        <v>50</v>
      </c>
      <c r="T6" s="110" t="s">
        <v>51</v>
      </c>
      <c r="U6" s="110" t="s">
        <v>52</v>
      </c>
      <c r="V6" s="110">
        <v>400</v>
      </c>
      <c r="W6" s="110">
        <v>500</v>
      </c>
      <c r="X6" s="110">
        <v>600</v>
      </c>
      <c r="Y6" s="110">
        <v>800</v>
      </c>
      <c r="Z6" s="110">
        <v>1000</v>
      </c>
      <c r="AA6" s="110">
        <v>1200</v>
      </c>
      <c r="AB6" s="110" t="s">
        <v>50</v>
      </c>
      <c r="AC6" s="110" t="s">
        <v>51</v>
      </c>
      <c r="AD6" s="110" t="s">
        <v>52</v>
      </c>
      <c r="AE6" s="110"/>
      <c r="AF6" s="113"/>
      <c r="AG6" s="113"/>
      <c r="AH6" s="114">
        <v>400</v>
      </c>
      <c r="AI6" s="114">
        <v>500</v>
      </c>
      <c r="AJ6" s="114">
        <v>600</v>
      </c>
      <c r="AK6" s="114">
        <v>800</v>
      </c>
      <c r="AL6" s="114">
        <v>1000</v>
      </c>
      <c r="AM6" s="115">
        <v>1200</v>
      </c>
      <c r="AN6" s="116"/>
      <c r="AO6" s="117" t="s">
        <v>50</v>
      </c>
      <c r="AP6" s="117" t="s">
        <v>51</v>
      </c>
      <c r="AQ6" s="117" t="s">
        <v>52</v>
      </c>
      <c r="AR6" s="118"/>
    </row>
    <row r="7" spans="1:44" s="36" customFormat="1">
      <c r="A7" s="119"/>
      <c r="B7" s="120"/>
      <c r="C7" s="121"/>
      <c r="D7" s="122"/>
      <c r="E7" s="123"/>
      <c r="F7" s="123"/>
      <c r="G7" s="123"/>
      <c r="H7" s="123"/>
      <c r="I7" s="123"/>
      <c r="J7" s="123"/>
      <c r="K7" s="124"/>
      <c r="L7" s="122"/>
      <c r="M7" s="122"/>
      <c r="N7" s="122"/>
      <c r="O7" s="122"/>
      <c r="P7" s="122"/>
      <c r="Q7" s="122"/>
      <c r="R7" s="125"/>
      <c r="S7" s="122"/>
      <c r="T7" s="122"/>
      <c r="U7" s="122"/>
      <c r="V7" s="126"/>
      <c r="W7" s="122"/>
      <c r="X7" s="122"/>
      <c r="Y7" s="122"/>
      <c r="Z7" s="122"/>
      <c r="AA7" s="122"/>
      <c r="AB7" s="122"/>
      <c r="AC7" s="122"/>
      <c r="AD7" s="122"/>
      <c r="AE7" s="122"/>
      <c r="AF7" s="124"/>
      <c r="AG7" s="124"/>
      <c r="AH7" s="127"/>
      <c r="AI7" s="127"/>
      <c r="AJ7" s="127"/>
      <c r="AK7" s="127"/>
      <c r="AL7" s="127"/>
      <c r="AM7" s="127"/>
      <c r="AN7" s="128"/>
      <c r="AO7" s="129"/>
      <c r="AP7" s="129"/>
      <c r="AQ7" s="130"/>
    </row>
    <row r="8" spans="1:44" s="36" customFormat="1">
      <c r="A8" s="119" t="e">
        <f>#REF!</f>
        <v>#REF!</v>
      </c>
      <c r="B8" s="120" t="e">
        <f>#REF!</f>
        <v>#REF!</v>
      </c>
      <c r="C8" s="121" t="e">
        <f>IF(#REF!=0,#REF!,2*#REF!)</f>
        <v>#REF!</v>
      </c>
      <c r="D8" s="122" t="e">
        <f>#REF!</f>
        <v>#REF!</v>
      </c>
      <c r="E8" s="123" t="e">
        <f>IF(#REF!='QUANT-MAT-DRE-R AZUL'!E$6,$C8,0)</f>
        <v>#REF!</v>
      </c>
      <c r="F8" s="123" t="e">
        <f>IF(#REF!='QUANT-MAT-DRE-R AZUL'!F$6,$C8,0)</f>
        <v>#REF!</v>
      </c>
      <c r="G8" s="123" t="e">
        <f>IF(#REF!='QUANT-MAT-DRE-R AZUL'!G$6,$C8,0)</f>
        <v>#REF!</v>
      </c>
      <c r="H8" s="123" t="e">
        <f>IF(#REF!='QUANT-MAT-DRE-R AZUL'!H$6,$C8,0)</f>
        <v>#REF!</v>
      </c>
      <c r="I8" s="123" t="e">
        <f>IF(#REF!='QUANT-MAT-DRE-R AZUL'!I$6,$C8,0)</f>
        <v>#REF!</v>
      </c>
      <c r="J8" s="123" t="e">
        <f>IF(#REF!='QUANT-MAT-DRE-R AZUL'!J$6,$C8,0)</f>
        <v>#REF!</v>
      </c>
      <c r="K8" s="124" t="e">
        <f>IF(#REF!=0,1,0)</f>
        <v>#REF!</v>
      </c>
      <c r="L8" s="122" t="e">
        <f>IF(#REF!='QUANT-MAT-DRE-R AZUL'!L$6,1*$K8,0)</f>
        <v>#REF!</v>
      </c>
      <c r="M8" s="122" t="e">
        <f>IF(#REF!='QUANT-MAT-DRE-R AZUL'!M$6,1*$K8,0)</f>
        <v>#REF!</v>
      </c>
      <c r="N8" s="122" t="e">
        <f>IF(#REF!='QUANT-MAT-DRE-R AZUL'!N$6,1*$K8,0)</f>
        <v>#REF!</v>
      </c>
      <c r="O8" s="122" t="e">
        <f>IF(#REF!='QUANT-MAT-DRE-R AZUL'!O$6,1*$K8,0)</f>
        <v>#REF!</v>
      </c>
      <c r="P8" s="122" t="e">
        <f>IF(#REF!='QUANT-MAT-DRE-R AZUL'!P$6,1*$K8,0)</f>
        <v>#REF!</v>
      </c>
      <c r="Q8" s="122" t="e">
        <f>IF(#REF!='QUANT-MAT-DRE-R AZUL'!Q$6,1*$K8,0)</f>
        <v>#REF!</v>
      </c>
      <c r="R8" s="125" t="e">
        <f>IF(#REF!=0,0,1)</f>
        <v>#REF!</v>
      </c>
      <c r="S8" s="122" t="e">
        <f>IF(#REF!='QUANT-MAT-DRE-R AZUL'!O$6,1*$R8,0)</f>
        <v>#REF!</v>
      </c>
      <c r="T8" s="122" t="e">
        <f>IF(#REF!='QUANT-MAT-DRE-R AZUL'!P$6,1*$R8,0)</f>
        <v>#REF!</v>
      </c>
      <c r="U8" s="122" t="e">
        <f>IF(#REF!='QUANT-MAT-DRE-R AZUL'!Q$6,1*$R8,0)</f>
        <v>#REF!</v>
      </c>
      <c r="V8" s="126" t="e">
        <f>IF(#REF!&gt;2,L8,0)</f>
        <v>#REF!</v>
      </c>
      <c r="W8" s="122" t="e">
        <f>IF(#REF!&gt;2,M8,0)</f>
        <v>#REF!</v>
      </c>
      <c r="X8" s="122" t="e">
        <f>IF(#REF!&gt;2,N8,0)</f>
        <v>#REF!</v>
      </c>
      <c r="Y8" s="122" t="e">
        <f>IF(#REF!&gt;2,O8,0)</f>
        <v>#REF!</v>
      </c>
      <c r="Z8" s="122" t="e">
        <f>IF(#REF!&gt;23,P8,0)</f>
        <v>#REF!</v>
      </c>
      <c r="AA8" s="122" t="e">
        <f>IF(#REF!&gt;2,Q8,0)</f>
        <v>#REF!</v>
      </c>
      <c r="AB8" s="122" t="e">
        <f>IF(#REF!&gt;2,S8,0)</f>
        <v>#REF!</v>
      </c>
      <c r="AC8" s="122" t="e">
        <f>IF(#REF!&gt;2,T8,0)</f>
        <v>#REF!</v>
      </c>
      <c r="AD8" s="122" t="e">
        <f>IF(#REF!&gt;2,U8,0)</f>
        <v>#REF!</v>
      </c>
      <c r="AE8" s="122"/>
      <c r="AF8" s="124" t="e">
        <f>IF(#REF!="L",1,0)</f>
        <v>#REF!</v>
      </c>
      <c r="AG8" s="124" t="e">
        <f>IF(#REF!=0,1,0)</f>
        <v>#REF!</v>
      </c>
      <c r="AH8" s="127" t="e">
        <f>IF(#REF!='QUANT-MAT-DRE-R AZUL'!AH$6,1*$AF8,0)*$AG8</f>
        <v>#REF!</v>
      </c>
      <c r="AI8" s="127" t="e">
        <f>IF(#REF!='QUANT-MAT-DRE-R AZUL'!AI$6,1*$AF8,0)*$AG8</f>
        <v>#REF!</v>
      </c>
      <c r="AJ8" s="127" t="e">
        <f>IF(#REF!='QUANT-MAT-DRE-R AZUL'!AJ$6,1*$AF8,0)*$AG8</f>
        <v>#REF!</v>
      </c>
      <c r="AK8" s="127" t="e">
        <f>IF(#REF!='QUANT-MAT-DRE-R AZUL'!AK$6,1*$AF8,0)*$AG8</f>
        <v>#REF!</v>
      </c>
      <c r="AL8" s="127" t="e">
        <f>IF(#REF!='QUANT-MAT-DRE-R AZUL'!AL$6,1*$AF8,0)*$AG8</f>
        <v>#REF!</v>
      </c>
      <c r="AM8" s="127" t="e">
        <f>IF(#REF!='QUANT-MAT-DRE-R AZUL'!AM$6,1*$AF8,0)*$AG8</f>
        <v>#REF!</v>
      </c>
      <c r="AN8" s="128" t="e">
        <f>IF(#REF!=0,0,1)</f>
        <v>#REF!</v>
      </c>
      <c r="AO8" s="129" t="e">
        <f>IF(#REF!='QUANT-MAT-DRE-R AZUL'!AK$6,$AF8*$AN8,0)</f>
        <v>#REF!</v>
      </c>
      <c r="AP8" s="129" t="e">
        <f>IF(#REF!='QUANT-MAT-DRE-R AZUL'!AL$6,$AF8*$AN8,0)</f>
        <v>#REF!</v>
      </c>
      <c r="AQ8" s="130" t="e">
        <f>IF(#REF!='QUANT-MAT-DRE-R AZUL'!AM$6,$AF8*$AN8,0)</f>
        <v>#REF!</v>
      </c>
    </row>
    <row r="9" spans="1:44" s="36" customFormat="1">
      <c r="A9" s="119" t="e">
        <f>#REF!</f>
        <v>#REF!</v>
      </c>
      <c r="B9" s="120" t="e">
        <f>#REF!</f>
        <v>#REF!</v>
      </c>
      <c r="C9" s="121" t="e">
        <f>IF(#REF!=0,#REF!,2*#REF!)</f>
        <v>#REF!</v>
      </c>
      <c r="D9" s="122" t="e">
        <f>#REF!</f>
        <v>#REF!</v>
      </c>
      <c r="E9" s="123" t="e">
        <f>IF(#REF!='QUANT-MAT-DRE-R AZUL'!E$6,$C9,0)</f>
        <v>#REF!</v>
      </c>
      <c r="F9" s="123" t="e">
        <f>IF(#REF!='QUANT-MAT-DRE-R AZUL'!F$6,$C9,0)</f>
        <v>#REF!</v>
      </c>
      <c r="G9" s="123" t="e">
        <f>IF(#REF!='QUANT-MAT-DRE-R AZUL'!G$6,$C9,0)</f>
        <v>#REF!</v>
      </c>
      <c r="H9" s="123" t="e">
        <f>IF(#REF!='QUANT-MAT-DRE-R AZUL'!H$6,$C9,0)</f>
        <v>#REF!</v>
      </c>
      <c r="I9" s="123" t="e">
        <f>IF(#REF!='QUANT-MAT-DRE-R AZUL'!I$6,$C9,0)</f>
        <v>#REF!</v>
      </c>
      <c r="J9" s="123" t="e">
        <f>IF(#REF!='QUANT-MAT-DRE-R AZUL'!J$6,$C9,0)</f>
        <v>#REF!</v>
      </c>
      <c r="K9" s="124" t="e">
        <f>IF(#REF!=0,1,0)</f>
        <v>#REF!</v>
      </c>
      <c r="L9" s="122" t="e">
        <f>IF(#REF!='QUANT-MAT-DRE-R AZUL'!L$6,1*$K9,0)</f>
        <v>#REF!</v>
      </c>
      <c r="M9" s="122" t="e">
        <f>IF(#REF!='QUANT-MAT-DRE-R AZUL'!M$6,1*$K9,0)</f>
        <v>#REF!</v>
      </c>
      <c r="N9" s="122" t="e">
        <f>IF(#REF!='QUANT-MAT-DRE-R AZUL'!N$6,1*$K9,0)</f>
        <v>#REF!</v>
      </c>
      <c r="O9" s="122" t="e">
        <f>IF(#REF!='QUANT-MAT-DRE-R AZUL'!O$6,1*$K9,0)</f>
        <v>#REF!</v>
      </c>
      <c r="P9" s="122" t="e">
        <f>IF(#REF!='QUANT-MAT-DRE-R AZUL'!P$6,1*$K9,0)</f>
        <v>#REF!</v>
      </c>
      <c r="Q9" s="122" t="e">
        <f>IF(#REF!='QUANT-MAT-DRE-R AZUL'!Q$6,1*$K9,0)</f>
        <v>#REF!</v>
      </c>
      <c r="R9" s="125" t="e">
        <f>IF(#REF!=0,0,1)</f>
        <v>#REF!</v>
      </c>
      <c r="S9" s="122" t="e">
        <f>IF(#REF!='QUANT-MAT-DRE-R AZUL'!O$6,1*$R9,0)</f>
        <v>#REF!</v>
      </c>
      <c r="T9" s="122" t="e">
        <f>IF(#REF!='QUANT-MAT-DRE-R AZUL'!P$6,1*$R9,0)</f>
        <v>#REF!</v>
      </c>
      <c r="U9" s="122" t="e">
        <f>IF(#REF!='QUANT-MAT-DRE-R AZUL'!Q$6,1*$R9,0)</f>
        <v>#REF!</v>
      </c>
      <c r="V9" s="126" t="e">
        <f>IF(#REF!&gt;2,L9,0)</f>
        <v>#REF!</v>
      </c>
      <c r="W9" s="122" t="e">
        <f>IF(#REF!&gt;2,M9,0)</f>
        <v>#REF!</v>
      </c>
      <c r="X9" s="122" t="e">
        <f>IF(#REF!&gt;2,N9,0)</f>
        <v>#REF!</v>
      </c>
      <c r="Y9" s="122" t="e">
        <f>IF(#REF!&gt;2,O9,0)</f>
        <v>#REF!</v>
      </c>
      <c r="Z9" s="122" t="e">
        <f>IF(#REF!&gt;23,P9,0)</f>
        <v>#REF!</v>
      </c>
      <c r="AA9" s="122" t="e">
        <f>IF(#REF!&gt;2,Q9,0)</f>
        <v>#REF!</v>
      </c>
      <c r="AB9" s="122" t="e">
        <f>IF(#REF!&gt;2,S9,0)</f>
        <v>#REF!</v>
      </c>
      <c r="AC9" s="122" t="e">
        <f>IF(#REF!&gt;2,T9,0)</f>
        <v>#REF!</v>
      </c>
      <c r="AD9" s="122" t="e">
        <f>IF(#REF!&gt;2,U9,0)</f>
        <v>#REF!</v>
      </c>
      <c r="AE9" s="122"/>
      <c r="AF9" s="124" t="e">
        <f>IF(#REF!="L",1,0)</f>
        <v>#REF!</v>
      </c>
      <c r="AG9" s="124" t="e">
        <f>IF(#REF!=0,1,0)</f>
        <v>#REF!</v>
      </c>
      <c r="AH9" s="127" t="e">
        <f>IF(#REF!='QUANT-MAT-DRE-R AZUL'!AH$6,1*$AF9,0)*$AG9</f>
        <v>#REF!</v>
      </c>
      <c r="AI9" s="127" t="e">
        <f>IF(#REF!='QUANT-MAT-DRE-R AZUL'!AI$6,1*$AF9,0)*$AG9</f>
        <v>#REF!</v>
      </c>
      <c r="AJ9" s="127" t="e">
        <f>IF(#REF!='QUANT-MAT-DRE-R AZUL'!AJ$6,1*$AF9,0)*$AG9</f>
        <v>#REF!</v>
      </c>
      <c r="AK9" s="127" t="e">
        <f>IF(#REF!='QUANT-MAT-DRE-R AZUL'!AK$6,1*$AF9,0)*$AG9</f>
        <v>#REF!</v>
      </c>
      <c r="AL9" s="127" t="e">
        <f>IF(#REF!='QUANT-MAT-DRE-R AZUL'!AL$6,1*$AF9,0)*$AG9</f>
        <v>#REF!</v>
      </c>
      <c r="AM9" s="127" t="e">
        <f>IF(#REF!='QUANT-MAT-DRE-R AZUL'!AM$6,1*$AF9,0)*$AG9</f>
        <v>#REF!</v>
      </c>
      <c r="AN9" s="128" t="e">
        <f>IF(#REF!=0,0,1)</f>
        <v>#REF!</v>
      </c>
      <c r="AO9" s="129" t="e">
        <f>IF(#REF!='QUANT-MAT-DRE-R AZUL'!AK$6,$AF9*$AN9,0)</f>
        <v>#REF!</v>
      </c>
      <c r="AP9" s="129" t="e">
        <f>IF(#REF!='QUANT-MAT-DRE-R AZUL'!AL$6,$AF9*$AN9,0)</f>
        <v>#REF!</v>
      </c>
      <c r="AQ9" s="130" t="e">
        <f>IF(#REF!='QUANT-MAT-DRE-R AZUL'!AM$6,$AF9*$AN9,0)</f>
        <v>#REF!</v>
      </c>
    </row>
    <row r="10" spans="1:44" s="36" customFormat="1">
      <c r="A10" s="119" t="e">
        <f>#REF!</f>
        <v>#REF!</v>
      </c>
      <c r="B10" s="120" t="e">
        <f>#REF!</f>
        <v>#REF!</v>
      </c>
      <c r="C10" s="121" t="e">
        <f>IF(#REF!=0,#REF!,2*#REF!)</f>
        <v>#REF!</v>
      </c>
      <c r="D10" s="122" t="e">
        <f>#REF!</f>
        <v>#REF!</v>
      </c>
      <c r="E10" s="123" t="e">
        <f>IF(#REF!='QUANT-MAT-DRE-R AZUL'!E$6,$C10,0)</f>
        <v>#REF!</v>
      </c>
      <c r="F10" s="123" t="e">
        <f>IF(#REF!='QUANT-MAT-DRE-R AZUL'!F$6,$C10,0)</f>
        <v>#REF!</v>
      </c>
      <c r="G10" s="123" t="e">
        <f>IF(#REF!='QUANT-MAT-DRE-R AZUL'!G$6,$C10,0)</f>
        <v>#REF!</v>
      </c>
      <c r="H10" s="123" t="e">
        <f>IF(#REF!='QUANT-MAT-DRE-R AZUL'!H$6,$C10,0)</f>
        <v>#REF!</v>
      </c>
      <c r="I10" s="123" t="e">
        <f>IF(#REF!='QUANT-MAT-DRE-R AZUL'!I$6,$C10,0)</f>
        <v>#REF!</v>
      </c>
      <c r="J10" s="123" t="e">
        <f>IF(#REF!='QUANT-MAT-DRE-R AZUL'!J$6,$C10,0)</f>
        <v>#REF!</v>
      </c>
      <c r="K10" s="124" t="e">
        <f>IF(#REF!=0,1,0)</f>
        <v>#REF!</v>
      </c>
      <c r="L10" s="122" t="e">
        <f>IF(#REF!='QUANT-MAT-DRE-R AZUL'!L$6,1*$K10,0)</f>
        <v>#REF!</v>
      </c>
      <c r="M10" s="122" t="e">
        <f>IF(#REF!='QUANT-MAT-DRE-R AZUL'!M$6,1*$K10,0)</f>
        <v>#REF!</v>
      </c>
      <c r="N10" s="122" t="e">
        <f>IF(#REF!='QUANT-MAT-DRE-R AZUL'!N$6,1*$K10,0)</f>
        <v>#REF!</v>
      </c>
      <c r="O10" s="122" t="e">
        <f>IF(#REF!='QUANT-MAT-DRE-R AZUL'!O$6,1*$K10,0)</f>
        <v>#REF!</v>
      </c>
      <c r="P10" s="122" t="e">
        <f>IF(#REF!='QUANT-MAT-DRE-R AZUL'!P$6,1*$K10,0)</f>
        <v>#REF!</v>
      </c>
      <c r="Q10" s="122" t="e">
        <f>IF(#REF!='QUANT-MAT-DRE-R AZUL'!Q$6,1*$K10,0)</f>
        <v>#REF!</v>
      </c>
      <c r="R10" s="125" t="e">
        <f>IF(#REF!=0,0,1)</f>
        <v>#REF!</v>
      </c>
      <c r="S10" s="122" t="e">
        <f>IF(#REF!='QUANT-MAT-DRE-R AZUL'!O$6,1*$R10,0)</f>
        <v>#REF!</v>
      </c>
      <c r="T10" s="122" t="e">
        <f>IF(#REF!='QUANT-MAT-DRE-R AZUL'!P$6,1*$R10,0)</f>
        <v>#REF!</v>
      </c>
      <c r="U10" s="122" t="e">
        <f>IF(#REF!='QUANT-MAT-DRE-R AZUL'!Q$6,1*$R10,0)</f>
        <v>#REF!</v>
      </c>
      <c r="V10" s="126" t="e">
        <f>IF(#REF!&gt;2,L10,0)</f>
        <v>#REF!</v>
      </c>
      <c r="W10" s="122" t="e">
        <f>IF(#REF!&gt;2,M10,0)</f>
        <v>#REF!</v>
      </c>
      <c r="X10" s="122" t="e">
        <f>IF(#REF!&gt;2,N10,0)</f>
        <v>#REF!</v>
      </c>
      <c r="Y10" s="122" t="e">
        <f>IF(#REF!&gt;2,O10,0)</f>
        <v>#REF!</v>
      </c>
      <c r="Z10" s="122" t="e">
        <f>IF(#REF!&gt;23,P10,0)</f>
        <v>#REF!</v>
      </c>
      <c r="AA10" s="122" t="e">
        <f>IF(#REF!&gt;2,Q10,0)</f>
        <v>#REF!</v>
      </c>
      <c r="AB10" s="122" t="e">
        <f>IF(#REF!&gt;2,S10,0)</f>
        <v>#REF!</v>
      </c>
      <c r="AC10" s="122" t="e">
        <f>IF(#REF!&gt;2,T10,0)</f>
        <v>#REF!</v>
      </c>
      <c r="AD10" s="122" t="e">
        <f>IF(#REF!&gt;2,U10,0)</f>
        <v>#REF!</v>
      </c>
      <c r="AE10" s="122"/>
      <c r="AF10" s="124" t="e">
        <f>IF(#REF!="L",1,0)</f>
        <v>#REF!</v>
      </c>
      <c r="AG10" s="124" t="e">
        <f>IF(#REF!=0,1,0)</f>
        <v>#REF!</v>
      </c>
      <c r="AH10" s="127" t="e">
        <f>IF(#REF!='QUANT-MAT-DRE-R AZUL'!AH$6,1*$AF10,0)*$AG10</f>
        <v>#REF!</v>
      </c>
      <c r="AI10" s="127" t="e">
        <f>IF(#REF!='QUANT-MAT-DRE-R AZUL'!AI$6,1*$AF10,0)*$AG10</f>
        <v>#REF!</v>
      </c>
      <c r="AJ10" s="127" t="e">
        <f>IF(#REF!='QUANT-MAT-DRE-R AZUL'!AJ$6,1*$AF10,0)*$AG10</f>
        <v>#REF!</v>
      </c>
      <c r="AK10" s="127" t="e">
        <f>IF(#REF!='QUANT-MAT-DRE-R AZUL'!AK$6,1*$AF10,0)*$AG10</f>
        <v>#REF!</v>
      </c>
      <c r="AL10" s="127" t="e">
        <f>IF(#REF!='QUANT-MAT-DRE-R AZUL'!AL$6,1*$AF10,0)*$AG10</f>
        <v>#REF!</v>
      </c>
      <c r="AM10" s="127" t="e">
        <f>IF(#REF!='QUANT-MAT-DRE-R AZUL'!AM$6,1*$AF10,0)*$AG10</f>
        <v>#REF!</v>
      </c>
      <c r="AN10" s="128" t="e">
        <f>IF(#REF!=0,0,1)</f>
        <v>#REF!</v>
      </c>
      <c r="AO10" s="129" t="e">
        <f>IF(#REF!='QUANT-MAT-DRE-R AZUL'!AK$6,$AF10*$AN10,0)</f>
        <v>#REF!</v>
      </c>
      <c r="AP10" s="129" t="e">
        <f>IF(#REF!='QUANT-MAT-DRE-R AZUL'!AL$6,$AF10*$AN10,0)</f>
        <v>#REF!</v>
      </c>
      <c r="AQ10" s="130" t="e">
        <f>IF(#REF!='QUANT-MAT-DRE-R AZUL'!AM$6,$AF10*$AN10,0)</f>
        <v>#REF!</v>
      </c>
    </row>
    <row r="11" spans="1:44" s="36" customFormat="1">
      <c r="A11" s="119" t="e">
        <f>#REF!</f>
        <v>#REF!</v>
      </c>
      <c r="B11" s="120" t="e">
        <f>#REF!</f>
        <v>#REF!</v>
      </c>
      <c r="C11" s="121" t="e">
        <f>IF(#REF!=0,#REF!,2*#REF!)</f>
        <v>#REF!</v>
      </c>
      <c r="D11" s="122" t="e">
        <f>#REF!</f>
        <v>#REF!</v>
      </c>
      <c r="E11" s="123" t="e">
        <f>IF(#REF!='QUANT-MAT-DRE-R AZUL'!E$6,$C11,0)</f>
        <v>#REF!</v>
      </c>
      <c r="F11" s="123" t="e">
        <f>IF(#REF!='QUANT-MAT-DRE-R AZUL'!F$6,$C11,0)</f>
        <v>#REF!</v>
      </c>
      <c r="G11" s="123" t="e">
        <f>IF(#REF!='QUANT-MAT-DRE-R AZUL'!G$6,$C11,0)</f>
        <v>#REF!</v>
      </c>
      <c r="H11" s="123" t="e">
        <f>IF(#REF!='QUANT-MAT-DRE-R AZUL'!H$6,$C11,0)</f>
        <v>#REF!</v>
      </c>
      <c r="I11" s="123" t="e">
        <f>IF(#REF!='QUANT-MAT-DRE-R AZUL'!I$6,$C11,0)</f>
        <v>#REF!</v>
      </c>
      <c r="J11" s="123" t="e">
        <f>IF(#REF!='QUANT-MAT-DRE-R AZUL'!J$6,$C11,0)</f>
        <v>#REF!</v>
      </c>
      <c r="K11" s="124" t="e">
        <f>IF(#REF!=0,1,0)</f>
        <v>#REF!</v>
      </c>
      <c r="L11" s="122" t="e">
        <f>IF(#REF!='QUANT-MAT-DRE-R AZUL'!L$6,1*$K11,0)</f>
        <v>#REF!</v>
      </c>
      <c r="M11" s="122" t="e">
        <f>IF(#REF!='QUANT-MAT-DRE-R AZUL'!M$6,1*$K11,0)</f>
        <v>#REF!</v>
      </c>
      <c r="N11" s="122" t="e">
        <f>IF(#REF!='QUANT-MAT-DRE-R AZUL'!N$6,1*$K11,0)</f>
        <v>#REF!</v>
      </c>
      <c r="O11" s="122" t="e">
        <f>IF(#REF!='QUANT-MAT-DRE-R AZUL'!O$6,1*$K11,0)</f>
        <v>#REF!</v>
      </c>
      <c r="P11" s="122" t="e">
        <f>IF(#REF!='QUANT-MAT-DRE-R AZUL'!P$6,1*$K11,0)</f>
        <v>#REF!</v>
      </c>
      <c r="Q11" s="122" t="e">
        <f>IF(#REF!='QUANT-MAT-DRE-R AZUL'!Q$6,1*$K11,0)</f>
        <v>#REF!</v>
      </c>
      <c r="R11" s="125" t="e">
        <f>IF(#REF!=0,0,1)</f>
        <v>#REF!</v>
      </c>
      <c r="S11" s="122" t="e">
        <f>IF(#REF!='QUANT-MAT-DRE-R AZUL'!O$6,1*$R11,0)</f>
        <v>#REF!</v>
      </c>
      <c r="T11" s="122" t="e">
        <f>IF(#REF!='QUANT-MAT-DRE-R AZUL'!P$6,1*$R11,0)</f>
        <v>#REF!</v>
      </c>
      <c r="U11" s="122" t="e">
        <f>IF(#REF!='QUANT-MAT-DRE-R AZUL'!Q$6,1*$R11,0)</f>
        <v>#REF!</v>
      </c>
      <c r="V11" s="126" t="e">
        <f>IF(#REF!&gt;2,L11,0)</f>
        <v>#REF!</v>
      </c>
      <c r="W11" s="122" t="e">
        <f>IF(#REF!&gt;2,M11,0)</f>
        <v>#REF!</v>
      </c>
      <c r="X11" s="122" t="e">
        <f>IF(#REF!&gt;2,N11,0)</f>
        <v>#REF!</v>
      </c>
      <c r="Y11" s="122" t="e">
        <f>IF(#REF!&gt;2,O11,0)</f>
        <v>#REF!</v>
      </c>
      <c r="Z11" s="122" t="e">
        <f>IF(#REF!&gt;23,P11,0)</f>
        <v>#REF!</v>
      </c>
      <c r="AA11" s="122" t="e">
        <f>IF(#REF!&gt;2,Q11,0)</f>
        <v>#REF!</v>
      </c>
      <c r="AB11" s="122" t="e">
        <f>IF(#REF!&gt;2,S11,0)</f>
        <v>#REF!</v>
      </c>
      <c r="AC11" s="122" t="e">
        <f>IF(#REF!&gt;2,T11,0)</f>
        <v>#REF!</v>
      </c>
      <c r="AD11" s="122" t="e">
        <f>IF(#REF!&gt;2,U11,0)</f>
        <v>#REF!</v>
      </c>
      <c r="AE11" s="122"/>
      <c r="AF11" s="124" t="e">
        <f>IF(#REF!="L",1,0)</f>
        <v>#REF!</v>
      </c>
      <c r="AG11" s="124" t="e">
        <f>IF(#REF!=0,1,0)</f>
        <v>#REF!</v>
      </c>
      <c r="AH11" s="127" t="e">
        <f>IF(#REF!='QUANT-MAT-DRE-R AZUL'!AH$6,1*$AF11,0)*$AG11</f>
        <v>#REF!</v>
      </c>
      <c r="AI11" s="127" t="e">
        <f>IF(#REF!='QUANT-MAT-DRE-R AZUL'!AI$6,1*$AF11,0)*$AG11</f>
        <v>#REF!</v>
      </c>
      <c r="AJ11" s="127" t="e">
        <f>IF(#REF!='QUANT-MAT-DRE-R AZUL'!AJ$6,1*$AF11,0)*$AG11</f>
        <v>#REF!</v>
      </c>
      <c r="AK11" s="127" t="e">
        <f>IF(#REF!='QUANT-MAT-DRE-R AZUL'!AK$6,1*$AF11,0)*$AG11</f>
        <v>#REF!</v>
      </c>
      <c r="AL11" s="127" t="e">
        <f>IF(#REF!='QUANT-MAT-DRE-R AZUL'!AL$6,1*$AF11,0)*$AG11</f>
        <v>#REF!</v>
      </c>
      <c r="AM11" s="127" t="e">
        <f>IF(#REF!='QUANT-MAT-DRE-R AZUL'!AM$6,1*$AF11,0)*$AG11</f>
        <v>#REF!</v>
      </c>
      <c r="AN11" s="128" t="e">
        <f>IF(#REF!=0,0,1)</f>
        <v>#REF!</v>
      </c>
      <c r="AO11" s="129" t="e">
        <f>IF(#REF!='QUANT-MAT-DRE-R AZUL'!AK$6,$AF11*$AN11,0)</f>
        <v>#REF!</v>
      </c>
      <c r="AP11" s="129" t="e">
        <f>IF(#REF!='QUANT-MAT-DRE-R AZUL'!AL$6,$AF11*$AN11,0)</f>
        <v>#REF!</v>
      </c>
      <c r="AQ11" s="130" t="e">
        <f>IF(#REF!='QUANT-MAT-DRE-R AZUL'!AM$6,$AF11*$AN11,0)</f>
        <v>#REF!</v>
      </c>
    </row>
    <row r="12" spans="1:44" s="36" customFormat="1">
      <c r="A12" s="119" t="e">
        <f>#REF!</f>
        <v>#REF!</v>
      </c>
      <c r="B12" s="120" t="e">
        <f>#REF!</f>
        <v>#REF!</v>
      </c>
      <c r="C12" s="121" t="e">
        <f>IF(#REF!=0,#REF!,2*#REF!)</f>
        <v>#REF!</v>
      </c>
      <c r="D12" s="122" t="e">
        <f>#REF!</f>
        <v>#REF!</v>
      </c>
      <c r="E12" s="123" t="e">
        <f>IF(#REF!='QUANT-MAT-DRE-R AZUL'!E$6,$C12,0)</f>
        <v>#REF!</v>
      </c>
      <c r="F12" s="123" t="e">
        <f>IF(#REF!='QUANT-MAT-DRE-R AZUL'!F$6,$C12,0)</f>
        <v>#REF!</v>
      </c>
      <c r="G12" s="123" t="e">
        <f>IF(#REF!='QUANT-MAT-DRE-R AZUL'!G$6,$C12,0)</f>
        <v>#REF!</v>
      </c>
      <c r="H12" s="123" t="e">
        <f>IF(#REF!='QUANT-MAT-DRE-R AZUL'!H$6,$C12,0)</f>
        <v>#REF!</v>
      </c>
      <c r="I12" s="123" t="e">
        <f>IF(#REF!='QUANT-MAT-DRE-R AZUL'!I$6,$C12,0)</f>
        <v>#REF!</v>
      </c>
      <c r="J12" s="123" t="e">
        <f>IF(#REF!='QUANT-MAT-DRE-R AZUL'!J$6,$C12,0)</f>
        <v>#REF!</v>
      </c>
      <c r="K12" s="124" t="e">
        <f>IF(#REF!=0,1,0)</f>
        <v>#REF!</v>
      </c>
      <c r="L12" s="122" t="e">
        <f>IF(#REF!='QUANT-MAT-DRE-R AZUL'!L$6,1*$K12,0)</f>
        <v>#REF!</v>
      </c>
      <c r="M12" s="122" t="e">
        <f>IF(#REF!='QUANT-MAT-DRE-R AZUL'!M$6,1*$K12,0)</f>
        <v>#REF!</v>
      </c>
      <c r="N12" s="122" t="e">
        <f>IF(#REF!='QUANT-MAT-DRE-R AZUL'!N$6,1*$K12,0)</f>
        <v>#REF!</v>
      </c>
      <c r="O12" s="122" t="e">
        <f>IF(#REF!='QUANT-MAT-DRE-R AZUL'!O$6,1*$K12,0)</f>
        <v>#REF!</v>
      </c>
      <c r="P12" s="122" t="e">
        <f>IF(#REF!='QUANT-MAT-DRE-R AZUL'!P$6,1*$K12,0)</f>
        <v>#REF!</v>
      </c>
      <c r="Q12" s="122" t="e">
        <f>IF(#REF!='QUANT-MAT-DRE-R AZUL'!Q$6,1*$K12,0)</f>
        <v>#REF!</v>
      </c>
      <c r="R12" s="125" t="e">
        <f>IF(#REF!=0,0,1)</f>
        <v>#REF!</v>
      </c>
      <c r="S12" s="122" t="e">
        <f>IF(#REF!='QUANT-MAT-DRE-R AZUL'!O$6,1*$R12,0)</f>
        <v>#REF!</v>
      </c>
      <c r="T12" s="122" t="e">
        <f>IF(#REF!='QUANT-MAT-DRE-R AZUL'!P$6,1*$R12,0)</f>
        <v>#REF!</v>
      </c>
      <c r="U12" s="122" t="e">
        <f>IF(#REF!='QUANT-MAT-DRE-R AZUL'!Q$6,1*$R12,0)</f>
        <v>#REF!</v>
      </c>
      <c r="V12" s="126" t="e">
        <f>IF(#REF!&gt;2,L12,0)</f>
        <v>#REF!</v>
      </c>
      <c r="W12" s="122" t="e">
        <f>IF(#REF!&gt;2,M12,0)</f>
        <v>#REF!</v>
      </c>
      <c r="X12" s="122" t="e">
        <f>IF(#REF!&gt;2,N12,0)</f>
        <v>#REF!</v>
      </c>
      <c r="Y12" s="122" t="e">
        <f>IF(#REF!&gt;2,O12,0)</f>
        <v>#REF!</v>
      </c>
      <c r="Z12" s="122" t="e">
        <f>IF(#REF!&gt;23,P12,0)</f>
        <v>#REF!</v>
      </c>
      <c r="AA12" s="122" t="e">
        <f>IF(#REF!&gt;2,Q12,0)</f>
        <v>#REF!</v>
      </c>
      <c r="AB12" s="122" t="e">
        <f>IF(#REF!&gt;2,S12,0)</f>
        <v>#REF!</v>
      </c>
      <c r="AC12" s="122" t="e">
        <f>IF(#REF!&gt;2,T12,0)</f>
        <v>#REF!</v>
      </c>
      <c r="AD12" s="122" t="e">
        <f>IF(#REF!&gt;2,U12,0)</f>
        <v>#REF!</v>
      </c>
      <c r="AE12" s="122"/>
      <c r="AF12" s="124" t="e">
        <f>IF(#REF!="L",1,0)</f>
        <v>#REF!</v>
      </c>
      <c r="AG12" s="124" t="e">
        <f>IF(#REF!=0,1,0)</f>
        <v>#REF!</v>
      </c>
      <c r="AH12" s="127" t="e">
        <f>IF(#REF!='QUANT-MAT-DRE-R AZUL'!AH$6,1*$AF12,0)*$AG12</f>
        <v>#REF!</v>
      </c>
      <c r="AI12" s="127" t="e">
        <f>IF(#REF!='QUANT-MAT-DRE-R AZUL'!AI$6,1*$AF12,0)*$AG12</f>
        <v>#REF!</v>
      </c>
      <c r="AJ12" s="127" t="e">
        <f>IF(#REF!='QUANT-MAT-DRE-R AZUL'!AJ$6,1*$AF12,0)*$AG12</f>
        <v>#REF!</v>
      </c>
      <c r="AK12" s="127" t="e">
        <f>IF(#REF!='QUANT-MAT-DRE-R AZUL'!AK$6,1*$AF12,0)*$AG12</f>
        <v>#REF!</v>
      </c>
      <c r="AL12" s="127" t="e">
        <f>IF(#REF!='QUANT-MAT-DRE-R AZUL'!AL$6,1*$AF12,0)*$AG12</f>
        <v>#REF!</v>
      </c>
      <c r="AM12" s="127" t="e">
        <f>IF(#REF!='QUANT-MAT-DRE-R AZUL'!AM$6,1*$AF12,0)*$AG12</f>
        <v>#REF!</v>
      </c>
      <c r="AN12" s="128" t="e">
        <f>IF(#REF!=0,0,1)</f>
        <v>#REF!</v>
      </c>
      <c r="AO12" s="129" t="e">
        <f>IF(#REF!='QUANT-MAT-DRE-R AZUL'!AK$6,$AF12*$AN12,0)</f>
        <v>#REF!</v>
      </c>
      <c r="AP12" s="129" t="e">
        <f>IF(#REF!='QUANT-MAT-DRE-R AZUL'!AL$6,$AF12*$AN12,0)</f>
        <v>#REF!</v>
      </c>
      <c r="AQ12" s="130" t="e">
        <f>IF(#REF!='QUANT-MAT-DRE-R AZUL'!AM$6,$AF12*$AN12,0)</f>
        <v>#REF!</v>
      </c>
    </row>
    <row r="13" spans="1:44" s="36" customFormat="1">
      <c r="A13" s="119" t="e">
        <f>#REF!</f>
        <v>#REF!</v>
      </c>
      <c r="B13" s="120" t="e">
        <f>#REF!</f>
        <v>#REF!</v>
      </c>
      <c r="C13" s="121" t="e">
        <f>IF(#REF!=0,#REF!,2*#REF!)</f>
        <v>#REF!</v>
      </c>
      <c r="D13" s="122" t="e">
        <f>#REF!</f>
        <v>#REF!</v>
      </c>
      <c r="E13" s="123" t="e">
        <f>IF(#REF!='QUANT-MAT-DRE-R AZUL'!E$6,$C13,0)</f>
        <v>#REF!</v>
      </c>
      <c r="F13" s="123" t="e">
        <f>IF(#REF!='QUANT-MAT-DRE-R AZUL'!F$6,$C13,0)</f>
        <v>#REF!</v>
      </c>
      <c r="G13" s="123" t="e">
        <f>IF(#REF!='QUANT-MAT-DRE-R AZUL'!G$6,$C13,0)</f>
        <v>#REF!</v>
      </c>
      <c r="H13" s="123" t="e">
        <f>IF(#REF!='QUANT-MAT-DRE-R AZUL'!H$6,$C13,0)</f>
        <v>#REF!</v>
      </c>
      <c r="I13" s="123" t="e">
        <f>IF(#REF!='QUANT-MAT-DRE-R AZUL'!I$6,$C13,0)</f>
        <v>#REF!</v>
      </c>
      <c r="J13" s="123" t="e">
        <f>IF(#REF!='QUANT-MAT-DRE-R AZUL'!J$6,$C13,0)</f>
        <v>#REF!</v>
      </c>
      <c r="K13" s="124" t="e">
        <f>IF(#REF!=0,1,0)</f>
        <v>#REF!</v>
      </c>
      <c r="L13" s="122" t="e">
        <f>IF(#REF!='QUANT-MAT-DRE-R AZUL'!L$6,1*$K13,0)</f>
        <v>#REF!</v>
      </c>
      <c r="M13" s="122" t="e">
        <f>IF(#REF!='QUANT-MAT-DRE-R AZUL'!M$6,1*$K13,0)</f>
        <v>#REF!</v>
      </c>
      <c r="N13" s="122" t="e">
        <f>IF(#REF!='QUANT-MAT-DRE-R AZUL'!N$6,1*$K13,0)</f>
        <v>#REF!</v>
      </c>
      <c r="O13" s="122" t="e">
        <f>IF(#REF!='QUANT-MAT-DRE-R AZUL'!O$6,1*$K13,0)</f>
        <v>#REF!</v>
      </c>
      <c r="P13" s="122" t="e">
        <f>IF(#REF!='QUANT-MAT-DRE-R AZUL'!P$6,1*$K13,0)</f>
        <v>#REF!</v>
      </c>
      <c r="Q13" s="122" t="e">
        <f>IF(#REF!='QUANT-MAT-DRE-R AZUL'!Q$6,1*$K13,0)</f>
        <v>#REF!</v>
      </c>
      <c r="R13" s="125" t="e">
        <f>IF(#REF!=0,0,1)</f>
        <v>#REF!</v>
      </c>
      <c r="S13" s="122" t="e">
        <f>IF(#REF!='QUANT-MAT-DRE-R AZUL'!O$6,1*$R13,0)</f>
        <v>#REF!</v>
      </c>
      <c r="T13" s="122" t="e">
        <f>IF(#REF!='QUANT-MAT-DRE-R AZUL'!P$6,1*$R13,0)</f>
        <v>#REF!</v>
      </c>
      <c r="U13" s="122" t="e">
        <f>IF(#REF!='QUANT-MAT-DRE-R AZUL'!Q$6,1*$R13,0)</f>
        <v>#REF!</v>
      </c>
      <c r="V13" s="126" t="e">
        <f>IF(#REF!&gt;2,L13,0)</f>
        <v>#REF!</v>
      </c>
      <c r="W13" s="122" t="e">
        <f>IF(#REF!&gt;2,M13,0)</f>
        <v>#REF!</v>
      </c>
      <c r="X13" s="122" t="e">
        <f>IF(#REF!&gt;2,N13,0)</f>
        <v>#REF!</v>
      </c>
      <c r="Y13" s="122" t="e">
        <f>IF(#REF!&gt;2,O13,0)</f>
        <v>#REF!</v>
      </c>
      <c r="Z13" s="122" t="e">
        <f>IF(#REF!&gt;23,P13,0)</f>
        <v>#REF!</v>
      </c>
      <c r="AA13" s="122" t="e">
        <f>IF(#REF!&gt;2,Q13,0)</f>
        <v>#REF!</v>
      </c>
      <c r="AB13" s="122" t="e">
        <f>IF(#REF!&gt;2,S13,0)</f>
        <v>#REF!</v>
      </c>
      <c r="AC13" s="122" t="e">
        <f>IF(#REF!&gt;2,T13,0)</f>
        <v>#REF!</v>
      </c>
      <c r="AD13" s="122" t="e">
        <f>IF(#REF!&gt;2,U13,0)</f>
        <v>#REF!</v>
      </c>
      <c r="AE13" s="122"/>
      <c r="AF13" s="124" t="e">
        <f>IF(#REF!="L",1,0)</f>
        <v>#REF!</v>
      </c>
      <c r="AG13" s="124" t="e">
        <f>IF(#REF!=0,1,0)</f>
        <v>#REF!</v>
      </c>
      <c r="AH13" s="127" t="e">
        <f>IF(#REF!='QUANT-MAT-DRE-R AZUL'!AH$6,1*$AF13,0)*$AG13</f>
        <v>#REF!</v>
      </c>
      <c r="AI13" s="127" t="e">
        <f>IF(#REF!='QUANT-MAT-DRE-R AZUL'!AI$6,1*$AF13,0)*$AG13</f>
        <v>#REF!</v>
      </c>
      <c r="AJ13" s="127" t="e">
        <f>IF(#REF!='QUANT-MAT-DRE-R AZUL'!AJ$6,1*$AF13,0)*$AG13</f>
        <v>#REF!</v>
      </c>
      <c r="AK13" s="127" t="e">
        <f>IF(#REF!='QUANT-MAT-DRE-R AZUL'!AK$6,1*$AF13,0)*$AG13</f>
        <v>#REF!</v>
      </c>
      <c r="AL13" s="127" t="e">
        <f>IF(#REF!='QUANT-MAT-DRE-R AZUL'!AL$6,1*$AF13,0)*$AG13</f>
        <v>#REF!</v>
      </c>
      <c r="AM13" s="127" t="e">
        <f>IF(#REF!='QUANT-MAT-DRE-R AZUL'!AM$6,1*$AF13,0)*$AG13</f>
        <v>#REF!</v>
      </c>
      <c r="AN13" s="128" t="e">
        <f>IF(#REF!=0,0,1)</f>
        <v>#REF!</v>
      </c>
      <c r="AO13" s="129" t="e">
        <f>IF(#REF!='QUANT-MAT-DRE-R AZUL'!AK$6,$AF13*$AN13,0)</f>
        <v>#REF!</v>
      </c>
      <c r="AP13" s="129" t="e">
        <f>IF(#REF!='QUANT-MAT-DRE-R AZUL'!AL$6,$AF13*$AN13,0)</f>
        <v>#REF!</v>
      </c>
      <c r="AQ13" s="130" t="e">
        <f>IF(#REF!='QUANT-MAT-DRE-R AZUL'!AM$6,$AF13*$AN13,0)</f>
        <v>#REF!</v>
      </c>
    </row>
    <row r="14" spans="1:44" s="36" customFormat="1">
      <c r="A14" s="119" t="e">
        <f>#REF!</f>
        <v>#REF!</v>
      </c>
      <c r="B14" s="120" t="e">
        <f>#REF!</f>
        <v>#REF!</v>
      </c>
      <c r="C14" s="121" t="e">
        <f>IF(#REF!=0,#REF!,2*#REF!)</f>
        <v>#REF!</v>
      </c>
      <c r="D14" s="122" t="e">
        <f>#REF!</f>
        <v>#REF!</v>
      </c>
      <c r="E14" s="123" t="e">
        <f>IF(#REF!='QUANT-MAT-DRE-R AZUL'!E$6,$C14,0)</f>
        <v>#REF!</v>
      </c>
      <c r="F14" s="123" t="e">
        <f>IF(#REF!='QUANT-MAT-DRE-R AZUL'!F$6,$C14,0)</f>
        <v>#REF!</v>
      </c>
      <c r="G14" s="123" t="e">
        <f>IF(#REF!='QUANT-MAT-DRE-R AZUL'!G$6,$C14,0)</f>
        <v>#REF!</v>
      </c>
      <c r="H14" s="123" t="e">
        <f>IF(#REF!='QUANT-MAT-DRE-R AZUL'!H$6,$C14,0)</f>
        <v>#REF!</v>
      </c>
      <c r="I14" s="123" t="e">
        <f>IF(#REF!='QUANT-MAT-DRE-R AZUL'!I$6,$C14,0)</f>
        <v>#REF!</v>
      </c>
      <c r="J14" s="123" t="e">
        <f>IF(#REF!='QUANT-MAT-DRE-R AZUL'!J$6,$C14,0)</f>
        <v>#REF!</v>
      </c>
      <c r="K14" s="124" t="e">
        <f>IF(#REF!=0,1,0)</f>
        <v>#REF!</v>
      </c>
      <c r="L14" s="122" t="e">
        <f>IF(#REF!='QUANT-MAT-DRE-R AZUL'!L$6,1*$K14,0)</f>
        <v>#REF!</v>
      </c>
      <c r="M14" s="122" t="e">
        <f>IF(#REF!='QUANT-MAT-DRE-R AZUL'!M$6,1*$K14,0)</f>
        <v>#REF!</v>
      </c>
      <c r="N14" s="122" t="e">
        <f>IF(#REF!='QUANT-MAT-DRE-R AZUL'!N$6,1*$K14,0)</f>
        <v>#REF!</v>
      </c>
      <c r="O14" s="122" t="e">
        <f>IF(#REF!='QUANT-MAT-DRE-R AZUL'!O$6,1*$K14,0)</f>
        <v>#REF!</v>
      </c>
      <c r="P14" s="122" t="e">
        <f>IF(#REF!='QUANT-MAT-DRE-R AZUL'!P$6,1*$K14,0)</f>
        <v>#REF!</v>
      </c>
      <c r="Q14" s="122" t="e">
        <f>IF(#REF!='QUANT-MAT-DRE-R AZUL'!Q$6,1*$K14,0)</f>
        <v>#REF!</v>
      </c>
      <c r="R14" s="125" t="e">
        <f>IF(#REF!=0,0,1)</f>
        <v>#REF!</v>
      </c>
      <c r="S14" s="122" t="e">
        <f>IF(#REF!='QUANT-MAT-DRE-R AZUL'!O$6,1*$R14,0)</f>
        <v>#REF!</v>
      </c>
      <c r="T14" s="122" t="e">
        <f>IF(#REF!='QUANT-MAT-DRE-R AZUL'!P$6,1*$R14,0)</f>
        <v>#REF!</v>
      </c>
      <c r="U14" s="122" t="e">
        <f>IF(#REF!='QUANT-MAT-DRE-R AZUL'!Q$6,1*$R14,0)</f>
        <v>#REF!</v>
      </c>
      <c r="V14" s="126" t="e">
        <f>IF(#REF!&gt;2,L14,0)</f>
        <v>#REF!</v>
      </c>
      <c r="W14" s="122" t="e">
        <f>IF(#REF!&gt;2,M14,0)</f>
        <v>#REF!</v>
      </c>
      <c r="X14" s="122" t="e">
        <f>IF(#REF!&gt;2,N14,0)</f>
        <v>#REF!</v>
      </c>
      <c r="Y14" s="122" t="e">
        <f>IF(#REF!&gt;2,O14,0)</f>
        <v>#REF!</v>
      </c>
      <c r="Z14" s="122" t="e">
        <f>IF(#REF!&gt;23,P14,0)</f>
        <v>#REF!</v>
      </c>
      <c r="AA14" s="122" t="e">
        <f>IF(#REF!&gt;2,Q14,0)</f>
        <v>#REF!</v>
      </c>
      <c r="AB14" s="122" t="e">
        <f>IF(#REF!&gt;2,S14,0)</f>
        <v>#REF!</v>
      </c>
      <c r="AC14" s="122" t="e">
        <f>IF(#REF!&gt;2,T14,0)</f>
        <v>#REF!</v>
      </c>
      <c r="AD14" s="122" t="e">
        <f>IF(#REF!&gt;2,U14,0)</f>
        <v>#REF!</v>
      </c>
      <c r="AE14" s="122"/>
      <c r="AF14" s="124" t="e">
        <f>IF(#REF!="L",1,0)</f>
        <v>#REF!</v>
      </c>
      <c r="AG14" s="124" t="e">
        <f>IF(#REF!=0,1,0)</f>
        <v>#REF!</v>
      </c>
      <c r="AH14" s="127" t="e">
        <f>IF(#REF!='QUANT-MAT-DRE-R AZUL'!AH$6,1*$AF14,0)*$AG14</f>
        <v>#REF!</v>
      </c>
      <c r="AI14" s="127" t="e">
        <f>IF(#REF!='QUANT-MAT-DRE-R AZUL'!AI$6,1*$AF14,0)*$AG14</f>
        <v>#REF!</v>
      </c>
      <c r="AJ14" s="127" t="e">
        <f>IF(#REF!='QUANT-MAT-DRE-R AZUL'!AJ$6,1*$AF14,0)*$AG14</f>
        <v>#REF!</v>
      </c>
      <c r="AK14" s="127" t="e">
        <f>IF(#REF!='QUANT-MAT-DRE-R AZUL'!AK$6,1*$AF14,0)*$AG14</f>
        <v>#REF!</v>
      </c>
      <c r="AL14" s="127" t="e">
        <f>IF(#REF!='QUANT-MAT-DRE-R AZUL'!AL$6,1*$AF14,0)*$AG14</f>
        <v>#REF!</v>
      </c>
      <c r="AM14" s="127" t="e">
        <f>IF(#REF!='QUANT-MAT-DRE-R AZUL'!AM$6,1*$AF14,0)*$AG14</f>
        <v>#REF!</v>
      </c>
      <c r="AN14" s="128" t="e">
        <f>IF(#REF!=0,0,1)</f>
        <v>#REF!</v>
      </c>
      <c r="AO14" s="129" t="e">
        <f>IF(#REF!='QUANT-MAT-DRE-R AZUL'!AK$6,$AF14*$AN14,0)</f>
        <v>#REF!</v>
      </c>
      <c r="AP14" s="129" t="e">
        <f>IF(#REF!='QUANT-MAT-DRE-R AZUL'!AL$6,$AF14*$AN14,0)</f>
        <v>#REF!</v>
      </c>
      <c r="AQ14" s="130" t="e">
        <f>IF(#REF!='QUANT-MAT-DRE-R AZUL'!AM$6,$AF14*$AN14,0)</f>
        <v>#REF!</v>
      </c>
    </row>
    <row r="15" spans="1:44" s="36" customFormat="1">
      <c r="A15" s="119" t="e">
        <f>#REF!</f>
        <v>#REF!</v>
      </c>
      <c r="B15" s="120" t="e">
        <f>#REF!</f>
        <v>#REF!</v>
      </c>
      <c r="C15" s="121" t="e">
        <f>IF(#REF!=0,#REF!,2*#REF!)</f>
        <v>#REF!</v>
      </c>
      <c r="D15" s="122" t="e">
        <f>#REF!</f>
        <v>#REF!</v>
      </c>
      <c r="E15" s="123" t="e">
        <f>IF(#REF!='QUANT-MAT-DRE-R AZUL'!E$6,$C15,0)</f>
        <v>#REF!</v>
      </c>
      <c r="F15" s="123" t="e">
        <f>IF(#REF!='QUANT-MAT-DRE-R AZUL'!F$6,$C15,0)</f>
        <v>#REF!</v>
      </c>
      <c r="G15" s="123" t="e">
        <f>IF(#REF!='QUANT-MAT-DRE-R AZUL'!G$6,$C15,0)</f>
        <v>#REF!</v>
      </c>
      <c r="H15" s="123" t="e">
        <f>IF(#REF!='QUANT-MAT-DRE-R AZUL'!H$6,$C15,0)</f>
        <v>#REF!</v>
      </c>
      <c r="I15" s="123" t="e">
        <f>IF(#REF!='QUANT-MAT-DRE-R AZUL'!I$6,$C15,0)</f>
        <v>#REF!</v>
      </c>
      <c r="J15" s="123" t="e">
        <f>IF(#REF!='QUANT-MAT-DRE-R AZUL'!J$6,$C15,0)</f>
        <v>#REF!</v>
      </c>
      <c r="K15" s="124" t="e">
        <f>IF(#REF!=0,1,0)</f>
        <v>#REF!</v>
      </c>
      <c r="L15" s="122" t="e">
        <f>IF(#REF!='QUANT-MAT-DRE-R AZUL'!L$6,1*$K15,0)</f>
        <v>#REF!</v>
      </c>
      <c r="M15" s="122" t="e">
        <f>IF(#REF!='QUANT-MAT-DRE-R AZUL'!M$6,1*$K15,0)</f>
        <v>#REF!</v>
      </c>
      <c r="N15" s="122" t="e">
        <f>IF(#REF!='QUANT-MAT-DRE-R AZUL'!N$6,1*$K15,0)</f>
        <v>#REF!</v>
      </c>
      <c r="O15" s="122" t="e">
        <f>IF(#REF!='QUANT-MAT-DRE-R AZUL'!O$6,1*$K15,0)</f>
        <v>#REF!</v>
      </c>
      <c r="P15" s="122" t="e">
        <f>IF(#REF!='QUANT-MAT-DRE-R AZUL'!P$6,1*$K15,0)</f>
        <v>#REF!</v>
      </c>
      <c r="Q15" s="122" t="e">
        <f>IF(#REF!='QUANT-MAT-DRE-R AZUL'!Q$6,1*$K15,0)</f>
        <v>#REF!</v>
      </c>
      <c r="R15" s="125" t="e">
        <f>IF(#REF!=0,0,1)</f>
        <v>#REF!</v>
      </c>
      <c r="S15" s="122" t="e">
        <f>IF(#REF!='QUANT-MAT-DRE-R AZUL'!O$6,1*$R15,0)</f>
        <v>#REF!</v>
      </c>
      <c r="T15" s="122" t="e">
        <f>IF(#REF!='QUANT-MAT-DRE-R AZUL'!P$6,1*$R15,0)</f>
        <v>#REF!</v>
      </c>
      <c r="U15" s="122" t="e">
        <f>IF(#REF!='QUANT-MAT-DRE-R AZUL'!Q$6,1*$R15,0)</f>
        <v>#REF!</v>
      </c>
      <c r="V15" s="126" t="e">
        <f>IF(#REF!&gt;2,L15,0)</f>
        <v>#REF!</v>
      </c>
      <c r="W15" s="122" t="e">
        <f>IF(#REF!&gt;2,M15,0)</f>
        <v>#REF!</v>
      </c>
      <c r="X15" s="122" t="e">
        <f>IF(#REF!&gt;2,N15,0)</f>
        <v>#REF!</v>
      </c>
      <c r="Y15" s="122" t="e">
        <f>IF(#REF!&gt;2,O15,0)</f>
        <v>#REF!</v>
      </c>
      <c r="Z15" s="122" t="e">
        <f>IF(#REF!&gt;23,P15,0)</f>
        <v>#REF!</v>
      </c>
      <c r="AA15" s="122" t="e">
        <f>IF(#REF!&gt;2,Q15,0)</f>
        <v>#REF!</v>
      </c>
      <c r="AB15" s="122" t="e">
        <f>IF(#REF!&gt;2,S15,0)</f>
        <v>#REF!</v>
      </c>
      <c r="AC15" s="122" t="e">
        <f>IF(#REF!&gt;2,T15,0)</f>
        <v>#REF!</v>
      </c>
      <c r="AD15" s="122" t="e">
        <f>IF(#REF!&gt;2,U15,0)</f>
        <v>#REF!</v>
      </c>
      <c r="AE15" s="122"/>
      <c r="AF15" s="124" t="e">
        <f>IF(#REF!="L",1,0)</f>
        <v>#REF!</v>
      </c>
      <c r="AG15" s="124" t="e">
        <f>IF(#REF!=0,1,0)</f>
        <v>#REF!</v>
      </c>
      <c r="AH15" s="127" t="e">
        <f>IF(#REF!='QUANT-MAT-DRE-R AZUL'!AH$6,1*$AF15,0)*$AG15</f>
        <v>#REF!</v>
      </c>
      <c r="AI15" s="127" t="e">
        <f>IF(#REF!='QUANT-MAT-DRE-R AZUL'!AI$6,1*$AF15,0)*$AG15</f>
        <v>#REF!</v>
      </c>
      <c r="AJ15" s="127" t="e">
        <f>IF(#REF!='QUANT-MAT-DRE-R AZUL'!AJ$6,1*$AF15,0)*$AG15</f>
        <v>#REF!</v>
      </c>
      <c r="AK15" s="127" t="e">
        <f>IF(#REF!='QUANT-MAT-DRE-R AZUL'!AK$6,1*$AF15,0)*$AG15</f>
        <v>#REF!</v>
      </c>
      <c r="AL15" s="127" t="e">
        <f>IF(#REF!='QUANT-MAT-DRE-R AZUL'!AL$6,1*$AF15,0)*$AG15</f>
        <v>#REF!</v>
      </c>
      <c r="AM15" s="127" t="e">
        <f>IF(#REF!='QUANT-MAT-DRE-R AZUL'!AM$6,1*$AF15,0)*$AG15</f>
        <v>#REF!</v>
      </c>
      <c r="AN15" s="128" t="e">
        <f>IF(#REF!=0,0,1)</f>
        <v>#REF!</v>
      </c>
      <c r="AO15" s="129" t="e">
        <f>IF(#REF!='QUANT-MAT-DRE-R AZUL'!AK$6,$AF15*$AN15,0)</f>
        <v>#REF!</v>
      </c>
      <c r="AP15" s="129" t="e">
        <f>IF(#REF!='QUANT-MAT-DRE-R AZUL'!AL$6,$AF15*$AN15,0)</f>
        <v>#REF!</v>
      </c>
      <c r="AQ15" s="130" t="e">
        <f>IF(#REF!='QUANT-MAT-DRE-R AZUL'!AM$6,$AF15*$AN15,0)</f>
        <v>#REF!</v>
      </c>
    </row>
    <row r="16" spans="1:44" s="36" customFormat="1">
      <c r="A16" s="119" t="e">
        <f>#REF!</f>
        <v>#REF!</v>
      </c>
      <c r="B16" s="120" t="e">
        <f>#REF!</f>
        <v>#REF!</v>
      </c>
      <c r="C16" s="121" t="e">
        <f>IF(#REF!=0,#REF!,2*#REF!)</f>
        <v>#REF!</v>
      </c>
      <c r="D16" s="122" t="e">
        <f>#REF!</f>
        <v>#REF!</v>
      </c>
      <c r="E16" s="123" t="e">
        <f>IF(#REF!='QUANT-MAT-DRE-R AZUL'!E$6,$C16,0)</f>
        <v>#REF!</v>
      </c>
      <c r="F16" s="123" t="e">
        <f>IF(#REF!='QUANT-MAT-DRE-R AZUL'!F$6,$C16,0)</f>
        <v>#REF!</v>
      </c>
      <c r="G16" s="123" t="e">
        <f>IF(#REF!='QUANT-MAT-DRE-R AZUL'!G$6,$C16,0)</f>
        <v>#REF!</v>
      </c>
      <c r="H16" s="123" t="e">
        <f>IF(#REF!='QUANT-MAT-DRE-R AZUL'!H$6,$C16,0)</f>
        <v>#REF!</v>
      </c>
      <c r="I16" s="123" t="e">
        <f>IF(#REF!='QUANT-MAT-DRE-R AZUL'!I$6,$C16,0)</f>
        <v>#REF!</v>
      </c>
      <c r="J16" s="123" t="e">
        <f>IF(#REF!='QUANT-MAT-DRE-R AZUL'!J$6,$C16,0)</f>
        <v>#REF!</v>
      </c>
      <c r="K16" s="124" t="e">
        <f>IF(#REF!=0,1,0)</f>
        <v>#REF!</v>
      </c>
      <c r="L16" s="122" t="e">
        <f>IF(#REF!='QUANT-MAT-DRE-R AZUL'!L$6,1*$K16,0)</f>
        <v>#REF!</v>
      </c>
      <c r="M16" s="122" t="e">
        <f>IF(#REF!='QUANT-MAT-DRE-R AZUL'!M$6,1*$K16,0)</f>
        <v>#REF!</v>
      </c>
      <c r="N16" s="122" t="e">
        <f>IF(#REF!='QUANT-MAT-DRE-R AZUL'!N$6,1*$K16,0)</f>
        <v>#REF!</v>
      </c>
      <c r="O16" s="122" t="e">
        <f>IF(#REF!='QUANT-MAT-DRE-R AZUL'!O$6,1*$K16,0)</f>
        <v>#REF!</v>
      </c>
      <c r="P16" s="122" t="e">
        <f>IF(#REF!='QUANT-MAT-DRE-R AZUL'!P$6,1*$K16,0)</f>
        <v>#REF!</v>
      </c>
      <c r="Q16" s="122" t="e">
        <f>IF(#REF!='QUANT-MAT-DRE-R AZUL'!Q$6,1*$K16,0)</f>
        <v>#REF!</v>
      </c>
      <c r="R16" s="125" t="e">
        <f>IF(#REF!=0,0,1)</f>
        <v>#REF!</v>
      </c>
      <c r="S16" s="122" t="e">
        <f>IF(#REF!='QUANT-MAT-DRE-R AZUL'!O$6,1*$R16,0)</f>
        <v>#REF!</v>
      </c>
      <c r="T16" s="122" t="e">
        <f>IF(#REF!='QUANT-MAT-DRE-R AZUL'!P$6,1*$R16,0)</f>
        <v>#REF!</v>
      </c>
      <c r="U16" s="122" t="e">
        <f>IF(#REF!='QUANT-MAT-DRE-R AZUL'!Q$6,1*$R16,0)</f>
        <v>#REF!</v>
      </c>
      <c r="V16" s="126" t="e">
        <f>IF(#REF!&gt;2,L16,0)</f>
        <v>#REF!</v>
      </c>
      <c r="W16" s="122" t="e">
        <f>IF(#REF!&gt;2,M16,0)</f>
        <v>#REF!</v>
      </c>
      <c r="X16" s="122" t="e">
        <f>IF(#REF!&gt;2,N16,0)</f>
        <v>#REF!</v>
      </c>
      <c r="Y16" s="122" t="e">
        <f>IF(#REF!&gt;2,O16,0)</f>
        <v>#REF!</v>
      </c>
      <c r="Z16" s="122" t="e">
        <f>IF(#REF!&gt;23,P16,0)</f>
        <v>#REF!</v>
      </c>
      <c r="AA16" s="122" t="e">
        <f>IF(#REF!&gt;2,Q16,0)</f>
        <v>#REF!</v>
      </c>
      <c r="AB16" s="122" t="e">
        <f>IF(#REF!&gt;2,S16,0)</f>
        <v>#REF!</v>
      </c>
      <c r="AC16" s="122" t="e">
        <f>IF(#REF!&gt;2,T16,0)</f>
        <v>#REF!</v>
      </c>
      <c r="AD16" s="122" t="e">
        <f>IF(#REF!&gt;2,U16,0)</f>
        <v>#REF!</v>
      </c>
      <c r="AE16" s="122"/>
      <c r="AF16" s="124" t="e">
        <f>IF(#REF!="L",1,0)</f>
        <v>#REF!</v>
      </c>
      <c r="AG16" s="124" t="e">
        <f>IF(#REF!=0,1,0)</f>
        <v>#REF!</v>
      </c>
      <c r="AH16" s="127" t="e">
        <f>IF(#REF!='QUANT-MAT-DRE-R AZUL'!AH$6,1*$AF16,0)*$AG16</f>
        <v>#REF!</v>
      </c>
      <c r="AI16" s="127" t="e">
        <f>IF(#REF!='QUANT-MAT-DRE-R AZUL'!AI$6,1*$AF16,0)*$AG16</f>
        <v>#REF!</v>
      </c>
      <c r="AJ16" s="127" t="e">
        <f>IF(#REF!='QUANT-MAT-DRE-R AZUL'!AJ$6,1*$AF16,0)*$AG16</f>
        <v>#REF!</v>
      </c>
      <c r="AK16" s="127" t="e">
        <f>IF(#REF!='QUANT-MAT-DRE-R AZUL'!AK$6,1*$AF16,0)*$AG16</f>
        <v>#REF!</v>
      </c>
      <c r="AL16" s="127" t="e">
        <f>IF(#REF!='QUANT-MAT-DRE-R AZUL'!AL$6,1*$AF16,0)*$AG16</f>
        <v>#REF!</v>
      </c>
      <c r="AM16" s="127" t="e">
        <f>IF(#REF!='QUANT-MAT-DRE-R AZUL'!AM$6,1*$AF16,0)*$AG16</f>
        <v>#REF!</v>
      </c>
      <c r="AN16" s="128" t="e">
        <f>IF(#REF!=0,0,1)</f>
        <v>#REF!</v>
      </c>
      <c r="AO16" s="129" t="e">
        <f>IF(#REF!='QUANT-MAT-DRE-R AZUL'!AK$6,$AF16*$AN16,0)</f>
        <v>#REF!</v>
      </c>
      <c r="AP16" s="129" t="e">
        <f>IF(#REF!='QUANT-MAT-DRE-R AZUL'!AL$6,$AF16*$AN16,0)</f>
        <v>#REF!</v>
      </c>
      <c r="AQ16" s="130" t="e">
        <f>IF(#REF!='QUANT-MAT-DRE-R AZUL'!AM$6,$AF16*$AN16,0)</f>
        <v>#REF!</v>
      </c>
    </row>
    <row r="17" spans="1:43" s="36" customFormat="1">
      <c r="A17" s="119" t="e">
        <f>#REF!</f>
        <v>#REF!</v>
      </c>
      <c r="B17" s="120" t="e">
        <f>#REF!</f>
        <v>#REF!</v>
      </c>
      <c r="C17" s="121" t="e">
        <f>IF(#REF!=0,#REF!,2*#REF!)</f>
        <v>#REF!</v>
      </c>
      <c r="D17" s="122" t="e">
        <f>#REF!</f>
        <v>#REF!</v>
      </c>
      <c r="E17" s="123" t="e">
        <f>IF(#REF!='QUANT-MAT-DRE-R AZUL'!E$6,$C17,0)</f>
        <v>#REF!</v>
      </c>
      <c r="F17" s="123" t="e">
        <f>IF(#REF!='QUANT-MAT-DRE-R AZUL'!F$6,$C17,0)</f>
        <v>#REF!</v>
      </c>
      <c r="G17" s="123" t="e">
        <f>IF(#REF!='QUANT-MAT-DRE-R AZUL'!G$6,$C17,0)</f>
        <v>#REF!</v>
      </c>
      <c r="H17" s="123" t="e">
        <f>IF(#REF!='QUANT-MAT-DRE-R AZUL'!H$6,$C17,0)</f>
        <v>#REF!</v>
      </c>
      <c r="I17" s="123" t="e">
        <f>IF(#REF!='QUANT-MAT-DRE-R AZUL'!I$6,$C17,0)</f>
        <v>#REF!</v>
      </c>
      <c r="J17" s="123" t="e">
        <f>IF(#REF!='QUANT-MAT-DRE-R AZUL'!J$6,$C17,0)</f>
        <v>#REF!</v>
      </c>
      <c r="K17" s="124" t="e">
        <f>IF(#REF!=0,1,0)</f>
        <v>#REF!</v>
      </c>
      <c r="L17" s="120" t="e">
        <f>IF(#REF!='QUANT-MAT-DRE-R AZUL'!L$6,1*$K17,0)</f>
        <v>#REF!</v>
      </c>
      <c r="M17" s="120" t="e">
        <f>IF(#REF!='QUANT-MAT-DRE-R AZUL'!M$6,1*$K17,0)</f>
        <v>#REF!</v>
      </c>
      <c r="N17" s="120" t="e">
        <f>IF(#REF!='QUANT-MAT-DRE-R AZUL'!N$6,1*$K17,0)</f>
        <v>#REF!</v>
      </c>
      <c r="O17" s="120" t="e">
        <f>IF(#REF!='QUANT-MAT-DRE-R AZUL'!O$6,1*$K17,0)</f>
        <v>#REF!</v>
      </c>
      <c r="P17" s="120" t="e">
        <f>IF(#REF!='QUANT-MAT-DRE-R AZUL'!P$6,1*$K17,0)</f>
        <v>#REF!</v>
      </c>
      <c r="Q17" s="120" t="e">
        <f>IF(#REF!='QUANT-MAT-DRE-R AZUL'!Q$6,1*$K17,0)</f>
        <v>#REF!</v>
      </c>
      <c r="R17" s="124" t="e">
        <f>IF(#REF!=0,0,1)</f>
        <v>#REF!</v>
      </c>
      <c r="S17" s="120" t="e">
        <f>IF(#REF!='QUANT-MAT-DRE-R AZUL'!O$6,1*$R17,0)</f>
        <v>#REF!</v>
      </c>
      <c r="T17" s="120" t="e">
        <f>IF(#REF!='QUANT-MAT-DRE-R AZUL'!P$6,1*$R17,0)</f>
        <v>#REF!</v>
      </c>
      <c r="U17" s="122" t="e">
        <f>IF(#REF!='QUANT-MAT-DRE-R AZUL'!Q$6,1*$R17,0)</f>
        <v>#REF!</v>
      </c>
      <c r="V17" s="126" t="e">
        <f>IF(#REF!&gt;2,L17,0)</f>
        <v>#REF!</v>
      </c>
      <c r="W17" s="122" t="e">
        <f>IF(#REF!&gt;2,M17,0)</f>
        <v>#REF!</v>
      </c>
      <c r="X17" s="122" t="e">
        <f>IF(#REF!&gt;2,N17,0)</f>
        <v>#REF!</v>
      </c>
      <c r="Y17" s="122" t="e">
        <f>IF(#REF!&gt;2,O17,0)</f>
        <v>#REF!</v>
      </c>
      <c r="Z17" s="122" t="e">
        <f>IF(#REF!&gt;23,P17,0)</f>
        <v>#REF!</v>
      </c>
      <c r="AA17" s="122" t="e">
        <f>IF(#REF!&gt;2,Q17,0)</f>
        <v>#REF!</v>
      </c>
      <c r="AB17" s="122" t="e">
        <f>IF(#REF!&gt;2,S17,0)</f>
        <v>#REF!</v>
      </c>
      <c r="AC17" s="122" t="e">
        <f>IF(#REF!&gt;2,T17,0)</f>
        <v>#REF!</v>
      </c>
      <c r="AD17" s="122" t="e">
        <f>IF(#REF!&gt;2,U17,0)</f>
        <v>#REF!</v>
      </c>
      <c r="AE17" s="122"/>
      <c r="AF17" s="124" t="e">
        <f>IF(#REF!="L",1,0)</f>
        <v>#REF!</v>
      </c>
      <c r="AG17" s="124" t="e">
        <f>IF(#REF!=0,1,0)</f>
        <v>#REF!</v>
      </c>
      <c r="AH17" s="127" t="e">
        <f>IF(#REF!='QUANT-MAT-DRE-R AZUL'!AH$6,1*$AF17,0)*$AG17</f>
        <v>#REF!</v>
      </c>
      <c r="AI17" s="127" t="e">
        <f>IF(#REF!='QUANT-MAT-DRE-R AZUL'!AI$6,1*$AF17,0)*$AG17</f>
        <v>#REF!</v>
      </c>
      <c r="AJ17" s="127" t="e">
        <f>IF(#REF!='QUANT-MAT-DRE-R AZUL'!AJ$6,1*$AF17,0)*$AG17</f>
        <v>#REF!</v>
      </c>
      <c r="AK17" s="127" t="e">
        <f>IF(#REF!='QUANT-MAT-DRE-R AZUL'!AK$6,1*$AF17,0)*$AG17</f>
        <v>#REF!</v>
      </c>
      <c r="AL17" s="127" t="e">
        <f>IF(#REF!='QUANT-MAT-DRE-R AZUL'!AL$6,1*$AF17,0)*$AG17</f>
        <v>#REF!</v>
      </c>
      <c r="AM17" s="127" t="e">
        <f>IF(#REF!='QUANT-MAT-DRE-R AZUL'!AM$6,1*$AF17,0)*$AG17</f>
        <v>#REF!</v>
      </c>
      <c r="AN17" s="128" t="e">
        <f>IF(#REF!=0,0,1)</f>
        <v>#REF!</v>
      </c>
      <c r="AO17" s="129" t="e">
        <f>IF(#REF!='QUANT-MAT-DRE-R AZUL'!AK$6,$AF17*$AN17,0)</f>
        <v>#REF!</v>
      </c>
      <c r="AP17" s="129" t="e">
        <f>IF(#REF!='QUANT-MAT-DRE-R AZUL'!AL$6,$AF17*$AN17,0)</f>
        <v>#REF!</v>
      </c>
      <c r="AQ17" s="130" t="e">
        <f>IF(#REF!='QUANT-MAT-DRE-R AZUL'!AM$6,$AF17*$AN17,0)</f>
        <v>#REF!</v>
      </c>
    </row>
    <row r="18" spans="1:43" s="36" customFormat="1">
      <c r="A18" s="119" t="e">
        <f>#REF!</f>
        <v>#REF!</v>
      </c>
      <c r="B18" s="120" t="e">
        <f>#REF!</f>
        <v>#REF!</v>
      </c>
      <c r="C18" s="121" t="e">
        <f>IF(#REF!=0,#REF!,2*#REF!)</f>
        <v>#REF!</v>
      </c>
      <c r="D18" s="122" t="e">
        <f>#REF!</f>
        <v>#REF!</v>
      </c>
      <c r="E18" s="123" t="e">
        <f>IF(#REF!='QUANT-MAT-DRE-R AZUL'!E$6,$C18,0)</f>
        <v>#REF!</v>
      </c>
      <c r="F18" s="123" t="e">
        <f>IF(#REF!='QUANT-MAT-DRE-R AZUL'!F$6,$C18,0)</f>
        <v>#REF!</v>
      </c>
      <c r="G18" s="123" t="e">
        <f>IF(#REF!='QUANT-MAT-DRE-R AZUL'!G$6,$C18,0)</f>
        <v>#REF!</v>
      </c>
      <c r="H18" s="123" t="e">
        <f>IF(#REF!='QUANT-MAT-DRE-R AZUL'!H$6,$C18,0)</f>
        <v>#REF!</v>
      </c>
      <c r="I18" s="123" t="e">
        <f>IF(#REF!='QUANT-MAT-DRE-R AZUL'!I$6,$C18,0)</f>
        <v>#REF!</v>
      </c>
      <c r="J18" s="123" t="e">
        <f>IF(#REF!='QUANT-MAT-DRE-R AZUL'!J$6,$C18,0)</f>
        <v>#REF!</v>
      </c>
      <c r="K18" s="124" t="e">
        <f>IF(#REF!=0,1,0)</f>
        <v>#REF!</v>
      </c>
      <c r="L18" s="122" t="e">
        <f>IF(#REF!='QUANT-MAT-DRE-R AZUL'!L$6,1*$K18,0)</f>
        <v>#REF!</v>
      </c>
      <c r="M18" s="122" t="e">
        <f>IF(#REF!='QUANT-MAT-DRE-R AZUL'!M$6,1*$K18,0)</f>
        <v>#REF!</v>
      </c>
      <c r="N18" s="122" t="e">
        <f>IF(#REF!='QUANT-MAT-DRE-R AZUL'!N$6,1*$K18,0)</f>
        <v>#REF!</v>
      </c>
      <c r="O18" s="122" t="e">
        <f>IF(#REF!='QUANT-MAT-DRE-R AZUL'!O$6,1*$K18,0)</f>
        <v>#REF!</v>
      </c>
      <c r="P18" s="122" t="e">
        <f>IF(#REF!='QUANT-MAT-DRE-R AZUL'!P$6,1*$K18,0)</f>
        <v>#REF!</v>
      </c>
      <c r="Q18" s="122" t="e">
        <f>IF(#REF!='QUANT-MAT-DRE-R AZUL'!Q$6,1*$K18,0)</f>
        <v>#REF!</v>
      </c>
      <c r="R18" s="124" t="e">
        <f>IF(#REF!=0,0,1)</f>
        <v>#REF!</v>
      </c>
      <c r="S18" s="122" t="e">
        <f>IF(#REF!='QUANT-MAT-DRE-R AZUL'!O$6,1*$R18,0)</f>
        <v>#REF!</v>
      </c>
      <c r="T18" s="122" t="e">
        <f>IF(#REF!='QUANT-MAT-DRE-R AZUL'!P$6,1*$R18,0)</f>
        <v>#REF!</v>
      </c>
      <c r="U18" s="122" t="e">
        <f>IF(#REF!='QUANT-MAT-DRE-R AZUL'!Q$6,1*$R18,0)</f>
        <v>#REF!</v>
      </c>
      <c r="V18" s="126" t="e">
        <f>IF(#REF!&gt;2,L18,0)</f>
        <v>#REF!</v>
      </c>
      <c r="W18" s="122" t="e">
        <f>IF(#REF!&gt;2,M18,0)</f>
        <v>#REF!</v>
      </c>
      <c r="X18" s="122" t="e">
        <f>IF(#REF!&gt;2,N18,0)</f>
        <v>#REF!</v>
      </c>
      <c r="Y18" s="122" t="e">
        <f>IF(#REF!&gt;2,O18,0)</f>
        <v>#REF!</v>
      </c>
      <c r="Z18" s="122" t="e">
        <f>IF(#REF!&gt;23,P18,0)</f>
        <v>#REF!</v>
      </c>
      <c r="AA18" s="122" t="e">
        <f>IF(#REF!&gt;2,Q18,0)</f>
        <v>#REF!</v>
      </c>
      <c r="AB18" s="122" t="e">
        <f>IF(#REF!&gt;2,S18,0)</f>
        <v>#REF!</v>
      </c>
      <c r="AC18" s="122" t="e">
        <f>IF(#REF!&gt;2,T18,0)</f>
        <v>#REF!</v>
      </c>
      <c r="AD18" s="122" t="e">
        <f>IF(#REF!&gt;2,U18,0)</f>
        <v>#REF!</v>
      </c>
      <c r="AE18" s="122"/>
      <c r="AF18" s="124" t="e">
        <f>IF(#REF!="L",1,0)</f>
        <v>#REF!</v>
      </c>
      <c r="AG18" s="124" t="e">
        <f>IF(#REF!=0,1,0)</f>
        <v>#REF!</v>
      </c>
      <c r="AH18" s="127" t="e">
        <f>IF(#REF!='QUANT-MAT-DRE-R AZUL'!AH$6,1*$AF18,0)*$AG18</f>
        <v>#REF!</v>
      </c>
      <c r="AI18" s="127" t="e">
        <f>IF(#REF!='QUANT-MAT-DRE-R AZUL'!AI$6,1*$AF18,0)*$AG18</f>
        <v>#REF!</v>
      </c>
      <c r="AJ18" s="127" t="e">
        <f>IF(#REF!='QUANT-MAT-DRE-R AZUL'!AJ$6,1*$AF18,0)*$AG18</f>
        <v>#REF!</v>
      </c>
      <c r="AK18" s="127" t="e">
        <f>IF(#REF!='QUANT-MAT-DRE-R AZUL'!AK$6,1*$AF18,0)*$AG18</f>
        <v>#REF!</v>
      </c>
      <c r="AL18" s="127" t="e">
        <f>IF(#REF!='QUANT-MAT-DRE-R AZUL'!AL$6,1*$AF18,0)*$AG18</f>
        <v>#REF!</v>
      </c>
      <c r="AM18" s="127" t="e">
        <f>IF(#REF!='QUANT-MAT-DRE-R AZUL'!AM$6,1*$AF18,0)*$AG18</f>
        <v>#REF!</v>
      </c>
      <c r="AN18" s="128" t="e">
        <f>IF(#REF!=0,0,1)</f>
        <v>#REF!</v>
      </c>
      <c r="AO18" s="129" t="e">
        <f>IF(#REF!='QUANT-MAT-DRE-R AZUL'!AK$6,$AF18*$AN18,0)</f>
        <v>#REF!</v>
      </c>
      <c r="AP18" s="129" t="e">
        <f>IF(#REF!='QUANT-MAT-DRE-R AZUL'!AL$6,$AF18*$AN18,0)</f>
        <v>#REF!</v>
      </c>
      <c r="AQ18" s="130" t="e">
        <f>IF(#REF!='QUANT-MAT-DRE-R AZUL'!AM$6,$AF18*$AN18,0)</f>
        <v>#REF!</v>
      </c>
    </row>
    <row r="19" spans="1:43" s="36" customFormat="1">
      <c r="A19" s="119" t="s">
        <v>39</v>
      </c>
      <c r="B19" s="120">
        <v>9</v>
      </c>
      <c r="C19" s="121"/>
      <c r="D19" s="122">
        <v>0</v>
      </c>
      <c r="E19" s="123">
        <v>0</v>
      </c>
      <c r="F19" s="123"/>
      <c r="G19" s="123"/>
      <c r="H19" s="123"/>
      <c r="I19" s="123">
        <v>74</v>
      </c>
      <c r="J19" s="123"/>
      <c r="K19" s="124"/>
      <c r="L19" s="122"/>
      <c r="M19" s="122"/>
      <c r="N19" s="122"/>
      <c r="O19" s="122"/>
      <c r="P19" s="122">
        <v>1</v>
      </c>
      <c r="Q19" s="122"/>
      <c r="R19" s="124"/>
      <c r="S19" s="122"/>
      <c r="T19" s="122">
        <v>0</v>
      </c>
      <c r="U19" s="122"/>
      <c r="V19" s="126"/>
      <c r="W19" s="122"/>
      <c r="X19" s="122"/>
      <c r="Y19" s="122"/>
      <c r="Z19" s="122"/>
      <c r="AA19" s="122"/>
      <c r="AB19" s="122"/>
      <c r="AC19" s="122"/>
      <c r="AD19" s="122"/>
      <c r="AE19" s="122"/>
      <c r="AF19" s="124"/>
      <c r="AG19" s="124"/>
      <c r="AH19" s="127"/>
      <c r="AI19" s="127"/>
      <c r="AJ19" s="127"/>
      <c r="AK19" s="127"/>
      <c r="AL19" s="127"/>
      <c r="AM19" s="127"/>
      <c r="AN19" s="128"/>
      <c r="AO19" s="129"/>
      <c r="AP19" s="129"/>
      <c r="AQ19" s="130"/>
    </row>
    <row r="20" spans="1:43" s="36" customFormat="1">
      <c r="A20" s="119">
        <v>6</v>
      </c>
      <c r="B20" s="120">
        <v>9</v>
      </c>
      <c r="C20" s="121"/>
      <c r="D20" s="122">
        <v>0</v>
      </c>
      <c r="E20" s="123">
        <v>0</v>
      </c>
      <c r="F20" s="123"/>
      <c r="G20" s="123"/>
      <c r="H20" s="123"/>
      <c r="I20" s="123">
        <v>67</v>
      </c>
      <c r="J20" s="123"/>
      <c r="K20" s="124"/>
      <c r="L20" s="122"/>
      <c r="M20" s="122"/>
      <c r="N20" s="122"/>
      <c r="O20" s="122"/>
      <c r="P20" s="122">
        <v>0</v>
      </c>
      <c r="Q20" s="122"/>
      <c r="R20" s="124"/>
      <c r="S20" s="122"/>
      <c r="T20" s="122"/>
      <c r="U20" s="122"/>
      <c r="V20" s="126"/>
      <c r="W20" s="122"/>
      <c r="X20" s="122"/>
      <c r="Y20" s="122"/>
      <c r="Z20" s="122"/>
      <c r="AA20" s="122"/>
      <c r="AB20" s="122"/>
      <c r="AC20" s="122"/>
      <c r="AD20" s="122"/>
      <c r="AE20" s="122"/>
      <c r="AF20" s="124"/>
      <c r="AG20" s="124"/>
      <c r="AH20" s="127"/>
      <c r="AI20" s="127"/>
      <c r="AJ20" s="127"/>
      <c r="AK20" s="127"/>
      <c r="AL20" s="127"/>
      <c r="AM20" s="127"/>
      <c r="AN20" s="128"/>
      <c r="AO20" s="129"/>
      <c r="AP20" s="129"/>
      <c r="AQ20" s="130"/>
    </row>
    <row r="21" spans="1:43" s="36" customFormat="1">
      <c r="A21" s="119"/>
      <c r="B21" s="120"/>
      <c r="C21" s="121"/>
      <c r="D21" s="122"/>
      <c r="E21" s="123"/>
      <c r="F21" s="123"/>
      <c r="G21" s="123"/>
      <c r="H21" s="123"/>
      <c r="I21" s="123"/>
      <c r="J21" s="123"/>
      <c r="K21" s="124"/>
      <c r="L21" s="122"/>
      <c r="M21" s="122"/>
      <c r="N21" s="122"/>
      <c r="O21" s="122"/>
      <c r="P21" s="122"/>
      <c r="Q21" s="122"/>
      <c r="R21" s="124"/>
      <c r="S21" s="122"/>
      <c r="T21" s="122"/>
      <c r="U21" s="122"/>
      <c r="V21" s="126"/>
      <c r="W21" s="122"/>
      <c r="X21" s="122"/>
      <c r="Y21" s="122"/>
      <c r="Z21" s="122"/>
      <c r="AA21" s="122"/>
      <c r="AB21" s="122"/>
      <c r="AC21" s="122"/>
      <c r="AD21" s="122"/>
      <c r="AE21" s="122"/>
      <c r="AF21" s="124"/>
      <c r="AG21" s="124"/>
      <c r="AH21" s="127"/>
      <c r="AI21" s="127"/>
      <c r="AJ21" s="127"/>
      <c r="AK21" s="127"/>
      <c r="AL21" s="127"/>
      <c r="AM21" s="127"/>
      <c r="AN21" s="128"/>
      <c r="AO21" s="129"/>
      <c r="AP21" s="129"/>
      <c r="AQ21" s="130"/>
    </row>
    <row r="22" spans="1:43" s="36" customFormat="1">
      <c r="A22" s="119"/>
      <c r="B22" s="120"/>
      <c r="C22" s="121"/>
      <c r="D22" s="122"/>
      <c r="E22" s="123"/>
      <c r="F22" s="123"/>
      <c r="G22" s="123"/>
      <c r="H22" s="123"/>
      <c r="I22" s="123"/>
      <c r="J22" s="123"/>
      <c r="K22" s="124"/>
      <c r="L22" s="122"/>
      <c r="M22" s="122"/>
      <c r="N22" s="122"/>
      <c r="O22" s="122"/>
      <c r="P22" s="122"/>
      <c r="Q22" s="122"/>
      <c r="R22" s="124"/>
      <c r="S22" s="122"/>
      <c r="T22" s="122"/>
      <c r="U22" s="122"/>
      <c r="V22" s="126"/>
      <c r="W22" s="122"/>
      <c r="X22" s="122"/>
      <c r="Y22" s="122"/>
      <c r="Z22" s="122"/>
      <c r="AA22" s="122"/>
      <c r="AB22" s="122"/>
      <c r="AC22" s="122"/>
      <c r="AD22" s="122"/>
      <c r="AE22" s="122"/>
      <c r="AF22" s="124"/>
      <c r="AG22" s="124"/>
      <c r="AH22" s="127"/>
      <c r="AI22" s="127"/>
      <c r="AJ22" s="127"/>
      <c r="AK22" s="127"/>
      <c r="AL22" s="127"/>
      <c r="AM22" s="127"/>
      <c r="AN22" s="128"/>
      <c r="AO22" s="129"/>
      <c r="AP22" s="129"/>
      <c r="AQ22" s="130"/>
    </row>
    <row r="23" spans="1:43" s="36" customFormat="1">
      <c r="A23" s="119"/>
      <c r="B23" s="120"/>
      <c r="C23" s="121"/>
      <c r="D23" s="122"/>
      <c r="E23" s="123"/>
      <c r="F23" s="123"/>
      <c r="G23" s="123"/>
      <c r="H23" s="123"/>
      <c r="I23" s="123"/>
      <c r="J23" s="123"/>
      <c r="K23" s="124"/>
      <c r="L23" s="122"/>
      <c r="M23" s="122"/>
      <c r="N23" s="122"/>
      <c r="O23" s="122"/>
      <c r="P23" s="122"/>
      <c r="Q23" s="122"/>
      <c r="R23" s="124"/>
      <c r="S23" s="122"/>
      <c r="T23" s="122"/>
      <c r="U23" s="122"/>
      <c r="V23" s="126"/>
      <c r="W23" s="122"/>
      <c r="X23" s="122"/>
      <c r="Y23" s="122"/>
      <c r="Z23" s="122"/>
      <c r="AA23" s="122"/>
      <c r="AB23" s="122"/>
      <c r="AC23" s="122"/>
      <c r="AD23" s="122"/>
      <c r="AE23" s="122"/>
      <c r="AF23" s="124"/>
      <c r="AG23" s="124"/>
      <c r="AH23" s="127"/>
      <c r="AI23" s="127"/>
      <c r="AJ23" s="127"/>
      <c r="AK23" s="127"/>
      <c r="AL23" s="127"/>
      <c r="AM23" s="127"/>
      <c r="AN23" s="128"/>
      <c r="AO23" s="129"/>
      <c r="AP23" s="129"/>
      <c r="AQ23" s="130"/>
    </row>
    <row r="24" spans="1:43" s="36" customFormat="1">
      <c r="A24" s="119"/>
      <c r="B24" s="120"/>
      <c r="C24" s="121"/>
      <c r="D24" s="122"/>
      <c r="E24" s="123"/>
      <c r="F24" s="123"/>
      <c r="G24" s="123"/>
      <c r="H24" s="123"/>
      <c r="I24" s="123"/>
      <c r="J24" s="123"/>
      <c r="K24" s="124"/>
      <c r="L24" s="122"/>
      <c r="M24" s="122"/>
      <c r="N24" s="122"/>
      <c r="O24" s="122"/>
      <c r="P24" s="122"/>
      <c r="Q24" s="122"/>
      <c r="R24" s="124"/>
      <c r="S24" s="122"/>
      <c r="T24" s="122"/>
      <c r="U24" s="122"/>
      <c r="V24" s="126"/>
      <c r="W24" s="122"/>
      <c r="X24" s="122"/>
      <c r="Y24" s="122"/>
      <c r="Z24" s="122"/>
      <c r="AA24" s="122"/>
      <c r="AB24" s="122"/>
      <c r="AC24" s="122"/>
      <c r="AD24" s="122"/>
      <c r="AE24" s="122"/>
      <c r="AF24" s="124"/>
      <c r="AG24" s="124"/>
      <c r="AH24" s="127"/>
      <c r="AI24" s="127"/>
      <c r="AJ24" s="127"/>
      <c r="AK24" s="127"/>
      <c r="AL24" s="127"/>
      <c r="AM24" s="127"/>
      <c r="AN24" s="128"/>
      <c r="AO24" s="129"/>
      <c r="AP24" s="129"/>
      <c r="AQ24" s="130"/>
    </row>
    <row r="25" spans="1:43" s="36" customFormat="1">
      <c r="A25" s="119"/>
      <c r="B25" s="120"/>
      <c r="C25" s="121"/>
      <c r="D25" s="122"/>
      <c r="E25" s="123"/>
      <c r="F25" s="123"/>
      <c r="G25" s="123"/>
      <c r="H25" s="123"/>
      <c r="I25" s="123"/>
      <c r="J25" s="123"/>
      <c r="K25" s="124"/>
      <c r="L25" s="122"/>
      <c r="M25" s="122"/>
      <c r="N25" s="122"/>
      <c r="O25" s="122"/>
      <c r="P25" s="122"/>
      <c r="Q25" s="122"/>
      <c r="R25" s="124"/>
      <c r="S25" s="122"/>
      <c r="T25" s="122"/>
      <c r="U25" s="122"/>
      <c r="V25" s="126"/>
      <c r="W25" s="122"/>
      <c r="X25" s="122"/>
      <c r="Y25" s="122"/>
      <c r="Z25" s="122"/>
      <c r="AA25" s="122"/>
      <c r="AB25" s="122"/>
      <c r="AC25" s="122"/>
      <c r="AD25" s="122"/>
      <c r="AE25" s="122"/>
      <c r="AF25" s="124"/>
      <c r="AG25" s="124"/>
      <c r="AH25" s="127"/>
      <c r="AI25" s="127"/>
      <c r="AJ25" s="127"/>
      <c r="AK25" s="127"/>
      <c r="AL25" s="127"/>
      <c r="AM25" s="127"/>
      <c r="AN25" s="128"/>
      <c r="AO25" s="129"/>
      <c r="AP25" s="129"/>
      <c r="AQ25" s="130"/>
    </row>
    <row r="26" spans="1:43" s="36" customFormat="1">
      <c r="A26" s="119"/>
      <c r="B26" s="120"/>
      <c r="C26" s="121"/>
      <c r="D26" s="122"/>
      <c r="E26" s="123"/>
      <c r="F26" s="123"/>
      <c r="G26" s="123"/>
      <c r="H26" s="123"/>
      <c r="I26" s="123"/>
      <c r="J26" s="123"/>
      <c r="K26" s="124"/>
      <c r="L26" s="122"/>
      <c r="M26" s="122"/>
      <c r="N26" s="122"/>
      <c r="O26" s="122"/>
      <c r="P26" s="122"/>
      <c r="Q26" s="122"/>
      <c r="R26" s="124"/>
      <c r="S26" s="122"/>
      <c r="T26" s="122"/>
      <c r="U26" s="122"/>
      <c r="V26" s="126"/>
      <c r="W26" s="122"/>
      <c r="X26" s="122"/>
      <c r="Y26" s="122"/>
      <c r="Z26" s="122"/>
      <c r="AA26" s="122"/>
      <c r="AB26" s="122"/>
      <c r="AC26" s="122"/>
      <c r="AD26" s="122"/>
      <c r="AE26" s="122"/>
      <c r="AF26" s="124"/>
      <c r="AG26" s="124"/>
      <c r="AH26" s="127"/>
      <c r="AI26" s="127"/>
      <c r="AJ26" s="127"/>
      <c r="AK26" s="127"/>
      <c r="AL26" s="127"/>
      <c r="AM26" s="127"/>
      <c r="AN26" s="128"/>
      <c r="AO26" s="129"/>
      <c r="AP26" s="129"/>
      <c r="AQ26" s="130"/>
    </row>
    <row r="27" spans="1:43" s="36" customFormat="1">
      <c r="A27" s="119"/>
      <c r="B27" s="120"/>
      <c r="C27" s="121"/>
      <c r="D27" s="122"/>
      <c r="E27" s="123"/>
      <c r="F27" s="123"/>
      <c r="G27" s="123"/>
      <c r="H27" s="123"/>
      <c r="I27" s="123"/>
      <c r="J27" s="123"/>
      <c r="K27" s="124"/>
      <c r="L27" s="122"/>
      <c r="M27" s="122"/>
      <c r="N27" s="122"/>
      <c r="O27" s="122"/>
      <c r="P27" s="122"/>
      <c r="Q27" s="122"/>
      <c r="R27" s="124"/>
      <c r="S27" s="122"/>
      <c r="T27" s="122"/>
      <c r="U27" s="122"/>
      <c r="V27" s="126"/>
      <c r="W27" s="122"/>
      <c r="X27" s="122"/>
      <c r="Y27" s="122"/>
      <c r="Z27" s="122"/>
      <c r="AA27" s="122"/>
      <c r="AB27" s="122"/>
      <c r="AC27" s="122"/>
      <c r="AD27" s="122"/>
      <c r="AE27" s="122"/>
      <c r="AF27" s="124"/>
      <c r="AG27" s="124"/>
      <c r="AH27" s="127"/>
      <c r="AI27" s="127"/>
      <c r="AJ27" s="127"/>
      <c r="AK27" s="127"/>
      <c r="AL27" s="127"/>
      <c r="AM27" s="127"/>
      <c r="AN27" s="128"/>
      <c r="AO27" s="129"/>
      <c r="AP27" s="129"/>
      <c r="AQ27" s="130"/>
    </row>
    <row r="28" spans="1:43" s="36" customFormat="1">
      <c r="A28" s="119"/>
      <c r="B28" s="120"/>
      <c r="C28" s="121"/>
      <c r="D28" s="122"/>
      <c r="E28" s="123"/>
      <c r="F28" s="123"/>
      <c r="G28" s="123"/>
      <c r="H28" s="123"/>
      <c r="I28" s="123"/>
      <c r="J28" s="123"/>
      <c r="K28" s="124"/>
      <c r="L28" s="122"/>
      <c r="M28" s="122"/>
      <c r="N28" s="122"/>
      <c r="O28" s="122"/>
      <c r="P28" s="122"/>
      <c r="Q28" s="122"/>
      <c r="R28" s="124"/>
      <c r="S28" s="122"/>
      <c r="T28" s="122"/>
      <c r="U28" s="122"/>
      <c r="V28" s="126"/>
      <c r="W28" s="122"/>
      <c r="X28" s="122"/>
      <c r="Y28" s="122"/>
      <c r="Z28" s="122"/>
      <c r="AA28" s="122"/>
      <c r="AB28" s="122"/>
      <c r="AC28" s="122"/>
      <c r="AD28" s="122"/>
      <c r="AE28" s="122"/>
      <c r="AF28" s="124"/>
      <c r="AG28" s="124"/>
      <c r="AH28" s="127"/>
      <c r="AI28" s="127"/>
      <c r="AJ28" s="127"/>
      <c r="AK28" s="127"/>
      <c r="AL28" s="127"/>
      <c r="AM28" s="127"/>
      <c r="AN28" s="128"/>
      <c r="AO28" s="129"/>
      <c r="AP28" s="129"/>
      <c r="AQ28" s="130"/>
    </row>
    <row r="29" spans="1:43" s="36" customFormat="1">
      <c r="A29" s="119"/>
      <c r="B29" s="120"/>
      <c r="C29" s="121"/>
      <c r="D29" s="122"/>
      <c r="E29" s="123"/>
      <c r="F29" s="123"/>
      <c r="G29" s="123"/>
      <c r="H29" s="123"/>
      <c r="I29" s="123"/>
      <c r="J29" s="123"/>
      <c r="K29" s="124"/>
      <c r="L29" s="122"/>
      <c r="M29" s="122"/>
      <c r="N29" s="122"/>
      <c r="O29" s="122"/>
      <c r="P29" s="122"/>
      <c r="Q29" s="122"/>
      <c r="R29" s="124"/>
      <c r="S29" s="122"/>
      <c r="T29" s="122"/>
      <c r="U29" s="122"/>
      <c r="V29" s="126"/>
      <c r="W29" s="122"/>
      <c r="X29" s="122"/>
      <c r="Y29" s="122"/>
      <c r="Z29" s="122"/>
      <c r="AA29" s="122"/>
      <c r="AB29" s="122"/>
      <c r="AC29" s="122"/>
      <c r="AD29" s="122"/>
      <c r="AE29" s="122"/>
      <c r="AF29" s="124"/>
      <c r="AG29" s="124"/>
      <c r="AH29" s="127"/>
      <c r="AI29" s="127"/>
      <c r="AJ29" s="127"/>
      <c r="AK29" s="127"/>
      <c r="AL29" s="127"/>
      <c r="AM29" s="127"/>
      <c r="AN29" s="128"/>
      <c r="AO29" s="129"/>
      <c r="AP29" s="129"/>
      <c r="AQ29" s="130"/>
    </row>
    <row r="30" spans="1:43" s="36" customFormat="1">
      <c r="A30" s="119"/>
      <c r="B30" s="120"/>
      <c r="C30" s="121"/>
      <c r="D30" s="122"/>
      <c r="E30" s="123"/>
      <c r="F30" s="123"/>
      <c r="G30" s="123"/>
      <c r="H30" s="123"/>
      <c r="I30" s="123"/>
      <c r="J30" s="123"/>
      <c r="K30" s="124"/>
      <c r="L30" s="122"/>
      <c r="M30" s="122"/>
      <c r="N30" s="122"/>
      <c r="O30" s="122"/>
      <c r="P30" s="122"/>
      <c r="Q30" s="122"/>
      <c r="R30" s="124"/>
      <c r="S30" s="122"/>
      <c r="T30" s="122"/>
      <c r="U30" s="122"/>
      <c r="V30" s="126"/>
      <c r="W30" s="122"/>
      <c r="X30" s="122"/>
      <c r="Y30" s="122"/>
      <c r="Z30" s="122"/>
      <c r="AA30" s="122"/>
      <c r="AB30" s="122"/>
      <c r="AC30" s="122"/>
      <c r="AD30" s="122"/>
      <c r="AE30" s="122"/>
      <c r="AF30" s="124"/>
      <c r="AG30" s="124"/>
      <c r="AH30" s="127"/>
      <c r="AI30" s="127"/>
      <c r="AJ30" s="127"/>
      <c r="AK30" s="127"/>
      <c r="AL30" s="127"/>
      <c r="AM30" s="127"/>
      <c r="AN30" s="128"/>
      <c r="AO30" s="129"/>
      <c r="AP30" s="129"/>
      <c r="AQ30" s="130"/>
    </row>
    <row r="31" spans="1:43" s="36" customFormat="1">
      <c r="A31" s="119"/>
      <c r="B31" s="120"/>
      <c r="C31" s="121"/>
      <c r="D31" s="122"/>
      <c r="E31" s="123"/>
      <c r="F31" s="123"/>
      <c r="G31" s="123"/>
      <c r="H31" s="123"/>
      <c r="I31" s="123"/>
      <c r="J31" s="123"/>
      <c r="K31" s="124"/>
      <c r="L31" s="122"/>
      <c r="M31" s="122"/>
      <c r="N31" s="122"/>
      <c r="O31" s="122"/>
      <c r="P31" s="122"/>
      <c r="Q31" s="122"/>
      <c r="R31" s="124"/>
      <c r="S31" s="122"/>
      <c r="T31" s="122"/>
      <c r="U31" s="122"/>
      <c r="V31" s="126"/>
      <c r="W31" s="122"/>
      <c r="X31" s="122"/>
      <c r="Y31" s="122"/>
      <c r="Z31" s="122"/>
      <c r="AA31" s="122"/>
      <c r="AB31" s="122"/>
      <c r="AC31" s="122"/>
      <c r="AD31" s="122"/>
      <c r="AE31" s="122"/>
      <c r="AF31" s="124"/>
      <c r="AG31" s="124"/>
      <c r="AH31" s="127"/>
      <c r="AI31" s="127"/>
      <c r="AJ31" s="127"/>
      <c r="AK31" s="127"/>
      <c r="AL31" s="127"/>
      <c r="AM31" s="127"/>
      <c r="AN31" s="128"/>
      <c r="AO31" s="129"/>
      <c r="AP31" s="129"/>
      <c r="AQ31" s="130"/>
    </row>
    <row r="32" spans="1:43" s="36" customFormat="1">
      <c r="A32" s="131"/>
      <c r="B32" s="122"/>
      <c r="C32" s="121"/>
      <c r="D32" s="122"/>
      <c r="E32" s="123"/>
      <c r="F32" s="123"/>
      <c r="G32" s="123"/>
      <c r="H32" s="123"/>
      <c r="I32" s="123"/>
      <c r="J32" s="123"/>
      <c r="K32" s="124"/>
      <c r="L32" s="122"/>
      <c r="M32" s="122"/>
      <c r="N32" s="122"/>
      <c r="O32" s="122"/>
      <c r="P32" s="122"/>
      <c r="Q32" s="122"/>
      <c r="R32" s="124"/>
      <c r="S32" s="122"/>
      <c r="T32" s="122"/>
      <c r="U32" s="122"/>
      <c r="V32" s="126"/>
      <c r="W32" s="122"/>
      <c r="X32" s="122"/>
      <c r="Y32" s="122"/>
      <c r="Z32" s="122"/>
      <c r="AA32" s="122"/>
      <c r="AB32" s="122"/>
      <c r="AC32" s="122"/>
      <c r="AD32" s="122"/>
      <c r="AE32" s="122"/>
      <c r="AF32" s="124"/>
      <c r="AG32" s="124"/>
      <c r="AH32" s="127"/>
      <c r="AI32" s="127"/>
      <c r="AJ32" s="127"/>
      <c r="AK32" s="127"/>
      <c r="AL32" s="127"/>
      <c r="AM32" s="127"/>
      <c r="AN32" s="128"/>
      <c r="AO32" s="129"/>
      <c r="AP32" s="129"/>
      <c r="AQ32" s="130"/>
    </row>
    <row r="33" spans="1:43" s="36" customFormat="1">
      <c r="A33" s="131"/>
      <c r="B33" s="122"/>
      <c r="C33" s="121"/>
      <c r="D33" s="122"/>
      <c r="E33" s="123"/>
      <c r="F33" s="123"/>
      <c r="G33" s="123"/>
      <c r="H33" s="123"/>
      <c r="I33" s="123"/>
      <c r="J33" s="123"/>
      <c r="K33" s="124"/>
      <c r="L33" s="122"/>
      <c r="M33" s="122"/>
      <c r="N33" s="122"/>
      <c r="O33" s="122"/>
      <c r="P33" s="122"/>
      <c r="Q33" s="122"/>
      <c r="R33" s="124"/>
      <c r="S33" s="122"/>
      <c r="T33" s="122"/>
      <c r="U33" s="122"/>
      <c r="V33" s="126"/>
      <c r="W33" s="122"/>
      <c r="X33" s="122"/>
      <c r="Y33" s="122"/>
      <c r="Z33" s="122"/>
      <c r="AA33" s="122"/>
      <c r="AB33" s="122"/>
      <c r="AC33" s="122"/>
      <c r="AD33" s="122"/>
      <c r="AE33" s="122"/>
      <c r="AF33" s="124"/>
      <c r="AG33" s="124"/>
      <c r="AH33" s="127"/>
      <c r="AI33" s="127"/>
      <c r="AJ33" s="127"/>
      <c r="AK33" s="127"/>
      <c r="AL33" s="127"/>
      <c r="AM33" s="127"/>
      <c r="AN33" s="128"/>
      <c r="AO33" s="129"/>
      <c r="AP33" s="129"/>
      <c r="AQ33" s="130"/>
    </row>
    <row r="34" spans="1:43" s="36" customFormat="1" ht="10.5" customHeight="1">
      <c r="A34" s="131"/>
      <c r="B34" s="122"/>
      <c r="C34" s="121"/>
      <c r="D34" s="122"/>
      <c r="E34" s="123"/>
      <c r="F34" s="123"/>
      <c r="G34" s="123"/>
      <c r="H34" s="123"/>
      <c r="I34" s="123"/>
      <c r="J34" s="123"/>
      <c r="K34" s="124"/>
      <c r="L34" s="122"/>
      <c r="M34" s="122"/>
      <c r="N34" s="122"/>
      <c r="O34" s="122"/>
      <c r="P34" s="122"/>
      <c r="Q34" s="122"/>
      <c r="R34" s="124"/>
      <c r="S34" s="122"/>
      <c r="T34" s="122"/>
      <c r="U34" s="122"/>
      <c r="V34" s="126"/>
      <c r="W34" s="122"/>
      <c r="X34" s="122"/>
      <c r="Y34" s="122"/>
      <c r="Z34" s="122"/>
      <c r="AA34" s="122"/>
      <c r="AB34" s="122"/>
      <c r="AC34" s="122"/>
      <c r="AD34" s="122"/>
      <c r="AE34" s="122"/>
      <c r="AF34" s="124"/>
      <c r="AG34" s="124"/>
      <c r="AH34" s="127"/>
      <c r="AI34" s="127"/>
      <c r="AJ34" s="127"/>
      <c r="AK34" s="127"/>
      <c r="AL34" s="127"/>
      <c r="AM34" s="127"/>
      <c r="AN34" s="128"/>
      <c r="AO34" s="129"/>
      <c r="AP34" s="129"/>
      <c r="AQ34" s="130"/>
    </row>
    <row r="35" spans="1:43" s="36" customFormat="1" ht="10.5" customHeight="1">
      <c r="A35" s="515" t="s">
        <v>53</v>
      </c>
      <c r="B35" s="516"/>
      <c r="C35" s="121"/>
      <c r="D35" s="122" t="e">
        <f>SUM(D7:D31)</f>
        <v>#REF!</v>
      </c>
      <c r="E35" s="123"/>
      <c r="F35" s="123"/>
      <c r="G35" s="123"/>
      <c r="H35" s="123"/>
      <c r="I35" s="123"/>
      <c r="J35" s="123"/>
      <c r="K35" s="124"/>
      <c r="L35" s="122"/>
      <c r="M35" s="122"/>
      <c r="N35" s="122"/>
      <c r="O35" s="122"/>
      <c r="P35" s="122"/>
      <c r="Q35" s="122"/>
      <c r="R35" s="124"/>
      <c r="S35" s="122"/>
      <c r="T35" s="122"/>
      <c r="U35" s="122"/>
      <c r="V35" s="126"/>
      <c r="W35" s="122"/>
      <c r="X35" s="122"/>
      <c r="Y35" s="122"/>
      <c r="Z35" s="122"/>
      <c r="AA35" s="122"/>
      <c r="AB35" s="122"/>
      <c r="AC35" s="122"/>
      <c r="AD35" s="122"/>
      <c r="AE35" s="122"/>
      <c r="AF35" s="124"/>
      <c r="AG35" s="124"/>
      <c r="AH35" s="127"/>
      <c r="AI35" s="127"/>
      <c r="AJ35" s="127"/>
      <c r="AK35" s="127"/>
      <c r="AL35" s="127"/>
      <c r="AM35" s="127"/>
      <c r="AN35" s="128"/>
      <c r="AO35" s="129"/>
      <c r="AP35" s="129"/>
      <c r="AQ35" s="130"/>
    </row>
    <row r="36" spans="1:43" s="36" customFormat="1" ht="10.5" customHeight="1">
      <c r="A36" s="515" t="s">
        <v>54</v>
      </c>
      <c r="B36" s="516"/>
      <c r="C36" s="121"/>
      <c r="D36" s="122"/>
      <c r="E36" s="123"/>
      <c r="F36" s="123" t="e">
        <f>$D$35*6</f>
        <v>#REF!</v>
      </c>
      <c r="G36" s="123">
        <v>0</v>
      </c>
      <c r="H36" s="123"/>
      <c r="I36" s="123"/>
      <c r="J36" s="123"/>
      <c r="K36" s="124"/>
      <c r="L36" s="122"/>
      <c r="M36" s="122"/>
      <c r="N36" s="122"/>
      <c r="O36" s="122"/>
      <c r="P36" s="122"/>
      <c r="Q36" s="122"/>
      <c r="R36" s="124"/>
      <c r="S36" s="122"/>
      <c r="T36" s="122"/>
      <c r="U36" s="122"/>
      <c r="V36" s="126"/>
      <c r="W36" s="122"/>
      <c r="X36" s="122"/>
      <c r="Y36" s="122"/>
      <c r="Z36" s="122"/>
      <c r="AA36" s="122"/>
      <c r="AB36" s="122"/>
      <c r="AC36" s="122"/>
      <c r="AD36" s="122"/>
      <c r="AE36" s="122"/>
      <c r="AF36" s="124"/>
      <c r="AG36" s="124"/>
      <c r="AH36" s="127"/>
      <c r="AI36" s="127"/>
      <c r="AJ36" s="127"/>
      <c r="AK36" s="127"/>
      <c r="AL36" s="127"/>
      <c r="AM36" s="127"/>
      <c r="AN36" s="128"/>
      <c r="AO36" s="129"/>
      <c r="AP36" s="129"/>
      <c r="AQ36" s="130"/>
    </row>
    <row r="37" spans="1:43" ht="10.5" customHeight="1">
      <c r="A37" s="517"/>
      <c r="B37" s="518"/>
      <c r="C37" s="132"/>
      <c r="D37" s="133"/>
      <c r="E37" s="134"/>
      <c r="F37" s="134"/>
      <c r="G37" s="134"/>
      <c r="H37" s="134"/>
      <c r="I37" s="134"/>
      <c r="J37" s="134"/>
      <c r="K37" s="101"/>
      <c r="L37" s="133"/>
      <c r="M37" s="133"/>
      <c r="N37" s="133"/>
      <c r="O37" s="133"/>
      <c r="P37" s="133"/>
      <c r="Q37" s="133"/>
      <c r="R37" s="101"/>
      <c r="S37" s="133"/>
      <c r="T37" s="133"/>
      <c r="U37" s="133"/>
      <c r="V37" s="135"/>
      <c r="W37" s="133"/>
      <c r="X37" s="133"/>
      <c r="Y37" s="133"/>
      <c r="Z37" s="133"/>
      <c r="AA37" s="133"/>
      <c r="AB37" s="133"/>
      <c r="AC37" s="133"/>
      <c r="AD37" s="133"/>
      <c r="AE37" s="133"/>
      <c r="AF37" s="101"/>
      <c r="AG37" s="101"/>
      <c r="AH37" s="136"/>
      <c r="AI37" s="136"/>
      <c r="AJ37" s="136"/>
      <c r="AK37" s="136"/>
      <c r="AL37" s="136"/>
      <c r="AM37" s="136"/>
      <c r="AN37" s="137"/>
      <c r="AO37" s="138"/>
      <c r="AP37" s="138"/>
      <c r="AQ37" s="139"/>
    </row>
    <row r="38" spans="1:43" s="18" customFormat="1" ht="17.25" thickBot="1">
      <c r="A38" s="519" t="s">
        <v>41</v>
      </c>
      <c r="B38" s="520"/>
      <c r="C38" s="140"/>
      <c r="D38" s="141" t="e">
        <f>SUM(D7:D31)</f>
        <v>#REF!</v>
      </c>
      <c r="E38" s="140"/>
      <c r="F38" s="140" t="e">
        <f t="shared" ref="F38:AQ38" si="0">SUM(F7:F36)</f>
        <v>#REF!</v>
      </c>
      <c r="G38" s="140" t="e">
        <f>SUM(G7:G36)</f>
        <v>#REF!</v>
      </c>
      <c r="H38" s="140" t="e">
        <f t="shared" si="0"/>
        <v>#REF!</v>
      </c>
      <c r="I38" s="140" t="e">
        <f>SUM(I7:I36)</f>
        <v>#REF!</v>
      </c>
      <c r="J38" s="140" t="e">
        <f t="shared" si="0"/>
        <v>#REF!</v>
      </c>
      <c r="K38" s="140" t="e">
        <f t="shared" si="0"/>
        <v>#REF!</v>
      </c>
      <c r="L38" s="140" t="e">
        <f t="shared" si="0"/>
        <v>#REF!</v>
      </c>
      <c r="M38" s="140" t="e">
        <f t="shared" si="0"/>
        <v>#REF!</v>
      </c>
      <c r="N38" s="140" t="e">
        <f t="shared" si="0"/>
        <v>#REF!</v>
      </c>
      <c r="O38" s="140" t="e">
        <f t="shared" si="0"/>
        <v>#REF!</v>
      </c>
      <c r="P38" s="140" t="e">
        <f t="shared" si="0"/>
        <v>#REF!</v>
      </c>
      <c r="Q38" s="140" t="e">
        <f t="shared" si="0"/>
        <v>#REF!</v>
      </c>
      <c r="R38" s="140" t="e">
        <f t="shared" si="0"/>
        <v>#REF!</v>
      </c>
      <c r="S38" s="140" t="e">
        <f t="shared" si="0"/>
        <v>#REF!</v>
      </c>
      <c r="T38" s="140" t="e">
        <f t="shared" si="0"/>
        <v>#REF!</v>
      </c>
      <c r="U38" s="142" t="e">
        <f t="shared" si="0"/>
        <v>#REF!</v>
      </c>
      <c r="V38" s="142" t="e">
        <f t="shared" si="0"/>
        <v>#REF!</v>
      </c>
      <c r="W38" s="142" t="e">
        <f t="shared" si="0"/>
        <v>#REF!</v>
      </c>
      <c r="X38" s="142" t="e">
        <f t="shared" si="0"/>
        <v>#REF!</v>
      </c>
      <c r="Y38" s="142" t="e">
        <f t="shared" si="0"/>
        <v>#REF!</v>
      </c>
      <c r="Z38" s="142" t="e">
        <f t="shared" si="0"/>
        <v>#REF!</v>
      </c>
      <c r="AA38" s="142" t="e">
        <f t="shared" si="0"/>
        <v>#REF!</v>
      </c>
      <c r="AB38" s="142" t="e">
        <f t="shared" si="0"/>
        <v>#REF!</v>
      </c>
      <c r="AC38" s="142" t="e">
        <f t="shared" si="0"/>
        <v>#REF!</v>
      </c>
      <c r="AD38" s="142" t="e">
        <f t="shared" si="0"/>
        <v>#REF!</v>
      </c>
      <c r="AE38" s="142">
        <f t="shared" si="0"/>
        <v>0</v>
      </c>
      <c r="AF38" s="142" t="e">
        <f t="shared" si="0"/>
        <v>#REF!</v>
      </c>
      <c r="AG38" s="142" t="e">
        <f t="shared" si="0"/>
        <v>#REF!</v>
      </c>
      <c r="AH38" s="143" t="e">
        <f t="shared" si="0"/>
        <v>#REF!</v>
      </c>
      <c r="AI38" s="143" t="e">
        <f t="shared" si="0"/>
        <v>#REF!</v>
      </c>
      <c r="AJ38" s="143" t="e">
        <f t="shared" si="0"/>
        <v>#REF!</v>
      </c>
      <c r="AK38" s="143" t="e">
        <f t="shared" si="0"/>
        <v>#REF!</v>
      </c>
      <c r="AL38" s="143" t="e">
        <f t="shared" si="0"/>
        <v>#REF!</v>
      </c>
      <c r="AM38" s="143" t="e">
        <f t="shared" si="0"/>
        <v>#REF!</v>
      </c>
      <c r="AN38" s="144" t="e">
        <f t="shared" si="0"/>
        <v>#REF!</v>
      </c>
      <c r="AO38" s="144" t="e">
        <f t="shared" si="0"/>
        <v>#REF!</v>
      </c>
      <c r="AP38" s="144" t="e">
        <f t="shared" si="0"/>
        <v>#REF!</v>
      </c>
      <c r="AQ38" s="145" t="e">
        <f t="shared" si="0"/>
        <v>#REF!</v>
      </c>
    </row>
    <row r="39" spans="1:43">
      <c r="C39" s="18"/>
      <c r="E39" s="18"/>
      <c r="F39" s="18"/>
      <c r="G39" s="18"/>
      <c r="H39" s="18"/>
      <c r="I39" s="18"/>
      <c r="J39" s="18"/>
      <c r="K39" s="34"/>
      <c r="L39" s="34"/>
      <c r="M39" s="34"/>
      <c r="N39" s="34"/>
      <c r="O39" s="34"/>
      <c r="P39" s="34"/>
      <c r="Q39" s="34"/>
      <c r="R39" s="34"/>
      <c r="S39" s="34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</row>
  </sheetData>
  <mergeCells count="8">
    <mergeCell ref="AH5:AM5"/>
    <mergeCell ref="A35:B35"/>
    <mergeCell ref="A36:B36"/>
    <mergeCell ref="A37:B37"/>
    <mergeCell ref="A38:B38"/>
    <mergeCell ref="A5:B5"/>
    <mergeCell ref="E5:J5"/>
    <mergeCell ref="L5:AG5"/>
  </mergeCells>
  <printOptions gridLinesSet="0"/>
  <pageMargins left="0.86614173228346458" right="0.39370078740157483" top="0.9055118110236221" bottom="0.47244094488188981" header="0.51181102362204722" footer="0.39370078740157483"/>
  <pageSetup paperSize="9" scale="92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00EC7-7AAD-4C35-BA28-04DD9056686F}">
  <dimension ref="A2:Q50"/>
  <sheetViews>
    <sheetView view="pageBreakPreview" zoomScaleNormal="100" zoomScaleSheetLayoutView="100" workbookViewId="0">
      <selection activeCell="C23" sqref="C23"/>
    </sheetView>
  </sheetViews>
  <sheetFormatPr defaultColWidth="11.42578125" defaultRowHeight="11.25"/>
  <cols>
    <col min="1" max="1" width="6" style="35" customWidth="1"/>
    <col min="2" max="2" width="93.42578125" style="36" customWidth="1"/>
    <col min="3" max="3" width="15" style="36" customWidth="1"/>
    <col min="4" max="4" width="18.42578125" style="36" customWidth="1"/>
    <col min="5" max="5" width="19" style="36" customWidth="1"/>
    <col min="6" max="16384" width="11.42578125" style="36"/>
  </cols>
  <sheetData>
    <row r="2" spans="1:17" ht="15.75">
      <c r="A2" s="534" t="s">
        <v>55</v>
      </c>
      <c r="B2" s="534"/>
      <c r="C2" s="534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</row>
    <row r="3" spans="1:17" ht="15.75">
      <c r="A3" s="535" t="s">
        <v>56</v>
      </c>
      <c r="B3" s="535"/>
      <c r="C3" s="535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</row>
    <row r="4" spans="1:17" ht="15.75">
      <c r="A4" s="525" t="s">
        <v>57</v>
      </c>
      <c r="B4" s="525"/>
      <c r="C4" s="525"/>
    </row>
    <row r="5" spans="1:17" ht="12" thickBot="1"/>
    <row r="6" spans="1:17" ht="18.75" customHeight="1" thickBot="1">
      <c r="A6" s="536" t="s">
        <v>58</v>
      </c>
      <c r="B6" s="537"/>
      <c r="C6" s="538"/>
    </row>
    <row r="7" spans="1:17" ht="6" customHeight="1" thickBot="1">
      <c r="A7" s="539"/>
      <c r="B7" s="539"/>
      <c r="C7" s="539"/>
    </row>
    <row r="8" spans="1:17">
      <c r="A8" s="526" t="s">
        <v>59</v>
      </c>
      <c r="B8" s="527"/>
      <c r="C8" s="295"/>
    </row>
    <row r="9" spans="1:17">
      <c r="A9" s="528" t="s">
        <v>60</v>
      </c>
      <c r="B9" s="529"/>
      <c r="C9" s="39"/>
    </row>
    <row r="10" spans="1:17">
      <c r="A10" s="37" t="s">
        <v>61</v>
      </c>
      <c r="B10" s="38"/>
      <c r="C10" s="39"/>
    </row>
    <row r="11" spans="1:17" ht="12" thickBot="1">
      <c r="A11" s="530" t="s">
        <v>62</v>
      </c>
      <c r="B11" s="531"/>
      <c r="C11" s="299"/>
    </row>
    <row r="12" spans="1:17" ht="6" customHeight="1">
      <c r="A12" s="13"/>
    </row>
    <row r="13" spans="1:17" ht="12.75" customHeight="1">
      <c r="A13" s="8"/>
      <c r="B13" s="8"/>
      <c r="C13" s="8"/>
    </row>
    <row r="14" spans="1:17">
      <c r="A14" s="10" t="s">
        <v>63</v>
      </c>
      <c r="B14" s="10" t="s">
        <v>64</v>
      </c>
      <c r="C14" s="9" t="s">
        <v>41</v>
      </c>
    </row>
    <row r="15" spans="1:17">
      <c r="A15" s="11"/>
      <c r="B15" s="14"/>
      <c r="C15" s="12"/>
    </row>
    <row r="16" spans="1:17" ht="12.75">
      <c r="A16" s="296">
        <v>1</v>
      </c>
      <c r="B16" s="294" t="s">
        <v>65</v>
      </c>
      <c r="C16" s="19"/>
      <c r="D16" s="20"/>
    </row>
    <row r="17" spans="1:6" ht="12.75">
      <c r="A17" s="8" t="s">
        <v>66</v>
      </c>
      <c r="B17" s="297" t="s">
        <v>65</v>
      </c>
      <c r="C17" s="22" t="e">
        <f>#REF!</f>
        <v>#REF!</v>
      </c>
      <c r="D17" s="20"/>
      <c r="E17" s="40"/>
    </row>
    <row r="18" spans="1:6" ht="12.75">
      <c r="A18" s="11"/>
      <c r="B18" s="14"/>
      <c r="C18" s="23"/>
      <c r="D18" s="20"/>
      <c r="E18" s="40"/>
    </row>
    <row r="19" spans="1:6" ht="12.75">
      <c r="A19" s="296">
        <v>2</v>
      </c>
      <c r="B19" s="294" t="s">
        <v>67</v>
      </c>
      <c r="C19" s="19"/>
      <c r="D19" s="20"/>
      <c r="E19" s="40"/>
    </row>
    <row r="20" spans="1:6" ht="12.75">
      <c r="A20" s="8" t="s">
        <v>68</v>
      </c>
      <c r="B20" s="298" t="s">
        <v>69</v>
      </c>
      <c r="C20" s="23" t="e">
        <f>#REF!</f>
        <v>#REF!</v>
      </c>
      <c r="D20" s="20"/>
      <c r="E20" s="40"/>
    </row>
    <row r="21" spans="1:6" ht="12.75">
      <c r="A21" s="11"/>
      <c r="B21" s="14"/>
      <c r="C21" s="23"/>
      <c r="D21" s="20"/>
      <c r="E21" s="40"/>
    </row>
    <row r="22" spans="1:6" ht="12.75">
      <c r="A22" s="296">
        <v>2</v>
      </c>
      <c r="B22" s="294" t="s">
        <v>70</v>
      </c>
      <c r="C22" s="19"/>
      <c r="D22" s="20"/>
    </row>
    <row r="23" spans="1:6" ht="12.75">
      <c r="A23" s="8" t="s">
        <v>68</v>
      </c>
      <c r="B23" s="298" t="s">
        <v>71</v>
      </c>
      <c r="C23" s="24" t="e">
        <f>#REF!</f>
        <v>#REF!</v>
      </c>
      <c r="D23" s="21"/>
      <c r="E23" s="40"/>
      <c r="F23" s="41"/>
    </row>
    <row r="24" spans="1:6" ht="12.75">
      <c r="A24" s="11"/>
      <c r="B24" s="12"/>
      <c r="C24" s="25"/>
      <c r="D24" s="20"/>
      <c r="E24" s="40"/>
      <c r="F24" s="41"/>
    </row>
    <row r="25" spans="1:6" ht="12.75" hidden="1">
      <c r="A25" s="296">
        <v>3</v>
      </c>
      <c r="B25" s="294" t="s">
        <v>72</v>
      </c>
      <c r="C25" s="19"/>
      <c r="D25" s="20"/>
      <c r="E25" s="241"/>
      <c r="F25" s="242"/>
    </row>
    <row r="26" spans="1:6" ht="12.75" hidden="1">
      <c r="A26" s="8" t="s">
        <v>73</v>
      </c>
      <c r="B26" s="297" t="s">
        <v>74</v>
      </c>
      <c r="C26" s="22" t="e">
        <f>#REF!</f>
        <v>#REF!</v>
      </c>
      <c r="D26" s="20"/>
      <c r="E26" s="241"/>
      <c r="F26" s="242"/>
    </row>
    <row r="27" spans="1:6" ht="13.5" thickBot="1">
      <c r="A27" s="11"/>
      <c r="B27" s="14"/>
      <c r="C27" s="23"/>
      <c r="D27" s="20"/>
      <c r="E27" s="241"/>
      <c r="F27" s="242"/>
    </row>
    <row r="28" spans="1:6" ht="13.5" thickBot="1">
      <c r="A28" s="532" t="s">
        <v>41</v>
      </c>
      <c r="B28" s="533"/>
      <c r="C28" s="293" t="e">
        <f>SUM(C26,C23,C17,C20)</f>
        <v>#REF!</v>
      </c>
    </row>
    <row r="29" spans="1:6">
      <c r="B29" s="35"/>
      <c r="C29" s="43"/>
    </row>
    <row r="31" spans="1:6">
      <c r="B31" s="35"/>
      <c r="F31" s="43"/>
    </row>
    <row r="32" spans="1:6">
      <c r="B32" s="35"/>
    </row>
    <row r="33" spans="2:2">
      <c r="B33" s="35"/>
    </row>
    <row r="34" spans="2:2">
      <c r="B34" s="35"/>
    </row>
    <row r="35" spans="2:2">
      <c r="B35" s="35"/>
    </row>
    <row r="50" spans="3:3">
      <c r="C50" s="42"/>
    </row>
  </sheetData>
  <mergeCells count="9">
    <mergeCell ref="A2:C2"/>
    <mergeCell ref="A3:C3"/>
    <mergeCell ref="A6:C6"/>
    <mergeCell ref="A7:C7"/>
    <mergeCell ref="A4:C4"/>
    <mergeCell ref="A8:B8"/>
    <mergeCell ref="A9:B9"/>
    <mergeCell ref="A11:B11"/>
    <mergeCell ref="A28:B28"/>
  </mergeCells>
  <printOptions horizontalCentered="1"/>
  <pageMargins left="0.59055118110236227" right="0.39370078740157483" top="0.19685039370078741" bottom="0.19685039370078741" header="0.70866141732283472" footer="0.39370078740157483"/>
  <pageSetup paperSize="9" scale="82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22D02-4926-4CF7-A992-D0968D420821}">
  <dimension ref="A1:I97"/>
  <sheetViews>
    <sheetView tabSelected="1" workbookViewId="0">
      <selection activeCell="D14" sqref="D14"/>
    </sheetView>
  </sheetViews>
  <sheetFormatPr defaultRowHeight="12.75"/>
  <cols>
    <col min="1" max="1" width="9.5703125" customWidth="1"/>
    <col min="2" max="2" width="12.42578125" customWidth="1"/>
    <col min="3" max="3" width="17.28515625" customWidth="1"/>
    <col min="4" max="4" width="68.5703125" bestFit="1" customWidth="1"/>
    <col min="5" max="5" width="10.85546875" customWidth="1"/>
    <col min="6" max="6" width="14.85546875" bestFit="1" customWidth="1"/>
    <col min="7" max="7" width="17.85546875" bestFit="1" customWidth="1"/>
    <col min="8" max="8" width="19.5703125" customWidth="1"/>
    <col min="9" max="9" width="19.5703125" bestFit="1" customWidth="1"/>
  </cols>
  <sheetData>
    <row r="1" spans="1:9" ht="18" customHeight="1">
      <c r="A1" s="562"/>
      <c r="B1" s="562"/>
      <c r="C1" s="562"/>
      <c r="D1" s="562"/>
      <c r="E1" s="562"/>
      <c r="F1" s="562"/>
      <c r="G1" s="562"/>
      <c r="H1" s="562"/>
      <c r="I1" s="562"/>
    </row>
    <row r="2" spans="1:9" ht="18" customHeight="1">
      <c r="A2" s="562"/>
      <c r="B2" s="562"/>
      <c r="C2" s="562"/>
      <c r="D2" s="562"/>
      <c r="E2" s="562"/>
      <c r="F2" s="562"/>
      <c r="G2" s="562"/>
      <c r="H2" s="562"/>
      <c r="I2" s="562"/>
    </row>
    <row r="3" spans="1:9" ht="18" customHeight="1">
      <c r="A3" s="562"/>
      <c r="B3" s="562"/>
      <c r="C3" s="562"/>
      <c r="D3" s="562"/>
      <c r="E3" s="562"/>
      <c r="F3" s="562"/>
      <c r="G3" s="562"/>
      <c r="H3" s="562"/>
      <c r="I3" s="562"/>
    </row>
    <row r="4" spans="1:9" ht="57.75" customHeight="1">
      <c r="A4" s="563" t="s">
        <v>75</v>
      </c>
      <c r="B4" s="563"/>
      <c r="C4" s="563"/>
      <c r="D4" s="563"/>
      <c r="E4" s="563"/>
      <c r="F4" s="563"/>
      <c r="G4" s="563"/>
      <c r="H4" s="563"/>
      <c r="I4" s="563"/>
    </row>
    <row r="5" spans="1:9" ht="44.25" customHeight="1">
      <c r="A5" s="564" t="s">
        <v>76</v>
      </c>
      <c r="B5" s="565"/>
      <c r="C5" s="565"/>
      <c r="D5" s="565"/>
      <c r="E5" s="565"/>
      <c r="F5" s="565"/>
      <c r="G5" s="333" t="s">
        <v>77</v>
      </c>
      <c r="H5" s="566" t="s">
        <v>78</v>
      </c>
      <c r="I5" s="567"/>
    </row>
    <row r="6" spans="1:9" ht="15">
      <c r="A6" s="561"/>
      <c r="B6" s="659"/>
      <c r="C6" s="659"/>
      <c r="D6" s="659"/>
      <c r="E6" s="659"/>
      <c r="F6" s="659"/>
      <c r="G6" s="659"/>
      <c r="H6" s="659"/>
      <c r="I6" s="659"/>
    </row>
    <row r="7" spans="1:9" ht="45">
      <c r="A7" s="334" t="s">
        <v>79</v>
      </c>
      <c r="B7" s="334" t="s">
        <v>80</v>
      </c>
      <c r="C7" s="334" t="s">
        <v>81</v>
      </c>
      <c r="D7" s="334" t="s">
        <v>82</v>
      </c>
      <c r="E7" s="334" t="s">
        <v>83</v>
      </c>
      <c r="F7" s="334" t="s">
        <v>84</v>
      </c>
      <c r="G7" s="334" t="s">
        <v>85</v>
      </c>
      <c r="H7" s="334" t="s">
        <v>86</v>
      </c>
      <c r="I7" s="334" t="s">
        <v>87</v>
      </c>
    </row>
    <row r="8" spans="1:9" ht="18" customHeight="1">
      <c r="A8" s="552">
        <v>1</v>
      </c>
      <c r="B8" s="553"/>
      <c r="C8" s="554"/>
      <c r="D8" s="555" t="s">
        <v>88</v>
      </c>
      <c r="E8" s="556"/>
      <c r="F8" s="556"/>
      <c r="G8" s="556"/>
      <c r="H8" s="556"/>
      <c r="I8" s="557"/>
    </row>
    <row r="9" spans="1:9" ht="18" customHeight="1">
      <c r="A9" s="329" t="s">
        <v>66</v>
      </c>
      <c r="B9" s="329" t="s">
        <v>89</v>
      </c>
      <c r="C9" s="330" t="s">
        <v>90</v>
      </c>
      <c r="D9" s="331" t="s">
        <v>67</v>
      </c>
      <c r="E9" s="329" t="s">
        <v>91</v>
      </c>
      <c r="F9" s="335">
        <v>3</v>
      </c>
      <c r="G9" s="332">
        <v>37400</v>
      </c>
      <c r="H9" s="332">
        <f>TRUNC(G9*1.2977,2)</f>
        <v>48533.98</v>
      </c>
      <c r="I9" s="332">
        <f>TRUNC(H9*F9,2)</f>
        <v>145601.94</v>
      </c>
    </row>
    <row r="10" spans="1:9" ht="18" customHeight="1">
      <c r="A10" s="546" t="s">
        <v>92</v>
      </c>
      <c r="B10" s="547"/>
      <c r="C10" s="547"/>
      <c r="D10" s="547"/>
      <c r="E10" s="547"/>
      <c r="F10" s="547"/>
      <c r="G10" s="547"/>
      <c r="H10" s="548"/>
      <c r="I10" s="337">
        <f>I9</f>
        <v>145601.94</v>
      </c>
    </row>
    <row r="11" spans="1:9" ht="18" customHeight="1">
      <c r="A11" s="549"/>
      <c r="B11" s="550"/>
      <c r="C11" s="550"/>
      <c r="D11" s="550"/>
      <c r="E11" s="550"/>
      <c r="F11" s="550"/>
      <c r="G11" s="550"/>
      <c r="H11" s="550"/>
      <c r="I11" s="551"/>
    </row>
    <row r="12" spans="1:9" ht="18" customHeight="1">
      <c r="A12" s="552">
        <v>2</v>
      </c>
      <c r="B12" s="553"/>
      <c r="C12" s="554"/>
      <c r="D12" s="555" t="s">
        <v>65</v>
      </c>
      <c r="E12" s="556"/>
      <c r="F12" s="556"/>
      <c r="G12" s="556"/>
      <c r="H12" s="556"/>
      <c r="I12" s="557"/>
    </row>
    <row r="13" spans="1:9" ht="18" customHeight="1">
      <c r="A13" s="540" t="s">
        <v>68</v>
      </c>
      <c r="B13" s="541"/>
      <c r="C13" s="542"/>
      <c r="D13" s="338" t="s">
        <v>93</v>
      </c>
      <c r="E13" s="339"/>
      <c r="F13" s="339"/>
      <c r="G13" s="339"/>
      <c r="H13" s="339"/>
      <c r="I13" s="340"/>
    </row>
    <row r="14" spans="1:9" ht="25.5">
      <c r="A14" s="329" t="s">
        <v>94</v>
      </c>
      <c r="B14" s="329" t="s">
        <v>95</v>
      </c>
      <c r="C14" s="330">
        <v>103689</v>
      </c>
      <c r="D14" s="331" t="s">
        <v>96</v>
      </c>
      <c r="E14" s="329" t="s">
        <v>97</v>
      </c>
      <c r="F14" s="335">
        <v>6</v>
      </c>
      <c r="G14" s="336">
        <v>309.5</v>
      </c>
      <c r="H14" s="332">
        <f t="shared" ref="H14:H22" si="0">TRUNC(G14*1.2977,2)</f>
        <v>401.63</v>
      </c>
      <c r="I14" s="332">
        <f>TRUNC(H14*F14,2)</f>
        <v>2409.7800000000002</v>
      </c>
    </row>
    <row r="15" spans="1:9" ht="25.5">
      <c r="A15" s="329" t="s">
        <v>98</v>
      </c>
      <c r="B15" s="329" t="s">
        <v>89</v>
      </c>
      <c r="C15" s="330" t="s">
        <v>99</v>
      </c>
      <c r="D15" s="331" t="s">
        <v>100</v>
      </c>
      <c r="E15" s="329" t="s">
        <v>91</v>
      </c>
      <c r="F15" s="335">
        <v>3</v>
      </c>
      <c r="G15" s="336">
        <v>2515.61</v>
      </c>
      <c r="H15" s="332">
        <f t="shared" si="0"/>
        <v>3264.5</v>
      </c>
      <c r="I15" s="332">
        <f>TRUNC(H15*F15,2)</f>
        <v>9793.5</v>
      </c>
    </row>
    <row r="16" spans="1:9" ht="18" customHeight="1">
      <c r="A16" s="540" t="s">
        <v>101</v>
      </c>
      <c r="B16" s="541"/>
      <c r="C16" s="542"/>
      <c r="D16" s="338" t="s">
        <v>102</v>
      </c>
      <c r="E16" s="339"/>
      <c r="F16" s="339"/>
      <c r="G16" s="339"/>
      <c r="H16" s="339"/>
      <c r="I16" s="340"/>
    </row>
    <row r="17" spans="1:9" ht="25.5">
      <c r="A17" s="329" t="s">
        <v>103</v>
      </c>
      <c r="B17" s="329" t="s">
        <v>95</v>
      </c>
      <c r="C17" s="330">
        <v>104790</v>
      </c>
      <c r="D17" s="331" t="s">
        <v>104</v>
      </c>
      <c r="E17" s="329" t="s">
        <v>31</v>
      </c>
      <c r="F17" s="335">
        <v>290.83</v>
      </c>
      <c r="G17" s="336">
        <v>97.69</v>
      </c>
      <c r="H17" s="332">
        <f t="shared" si="0"/>
        <v>126.77</v>
      </c>
      <c r="I17" s="332">
        <f t="shared" ref="I17:I22" si="1">TRUNC(H17*F17,2)</f>
        <v>36868.51</v>
      </c>
    </row>
    <row r="18" spans="1:9" ht="25.5">
      <c r="A18" s="329" t="s">
        <v>105</v>
      </c>
      <c r="B18" s="329" t="s">
        <v>95</v>
      </c>
      <c r="C18" s="330">
        <v>104796</v>
      </c>
      <c r="D18" s="331" t="s">
        <v>106</v>
      </c>
      <c r="E18" s="329" t="s">
        <v>107</v>
      </c>
      <c r="F18" s="335">
        <v>330.64000000000004</v>
      </c>
      <c r="G18" s="336">
        <v>12.56</v>
      </c>
      <c r="H18" s="332">
        <f t="shared" si="0"/>
        <v>16.29</v>
      </c>
      <c r="I18" s="332">
        <f t="shared" si="1"/>
        <v>5386.12</v>
      </c>
    </row>
    <row r="19" spans="1:9" ht="25.5">
      <c r="A19" s="329" t="s">
        <v>108</v>
      </c>
      <c r="B19" s="329" t="s">
        <v>95</v>
      </c>
      <c r="C19" s="330">
        <v>97636</v>
      </c>
      <c r="D19" s="331" t="s">
        <v>109</v>
      </c>
      <c r="E19" s="329" t="s">
        <v>97</v>
      </c>
      <c r="F19" s="343">
        <v>2110.46</v>
      </c>
      <c r="G19" s="336">
        <v>21.16</v>
      </c>
      <c r="H19" s="332">
        <f t="shared" si="0"/>
        <v>27.45</v>
      </c>
      <c r="I19" s="332">
        <f t="shared" si="1"/>
        <v>57932.12</v>
      </c>
    </row>
    <row r="20" spans="1:9" ht="38.25">
      <c r="A20" s="329" t="s">
        <v>110</v>
      </c>
      <c r="B20" s="329" t="s">
        <v>95</v>
      </c>
      <c r="C20" s="330">
        <v>97635</v>
      </c>
      <c r="D20" s="331" t="s">
        <v>111</v>
      </c>
      <c r="E20" s="329" t="s">
        <v>97</v>
      </c>
      <c r="F20" s="343">
        <v>3336</v>
      </c>
      <c r="G20" s="336">
        <v>15.26</v>
      </c>
      <c r="H20" s="332">
        <f t="shared" si="0"/>
        <v>19.8</v>
      </c>
      <c r="I20" s="332">
        <f t="shared" si="1"/>
        <v>66052.800000000003</v>
      </c>
    </row>
    <row r="21" spans="1:9" ht="51">
      <c r="A21" s="329" t="s">
        <v>112</v>
      </c>
      <c r="B21" s="329" t="s">
        <v>95</v>
      </c>
      <c r="C21" s="330">
        <v>100982</v>
      </c>
      <c r="D21" s="331" t="s">
        <v>113</v>
      </c>
      <c r="E21" s="329" t="s">
        <v>114</v>
      </c>
      <c r="F21" s="335">
        <v>678.12</v>
      </c>
      <c r="G21" s="336">
        <v>8.9499999999999993</v>
      </c>
      <c r="H21" s="332">
        <f t="shared" si="0"/>
        <v>11.61</v>
      </c>
      <c r="I21" s="332">
        <f t="shared" si="1"/>
        <v>7872.97</v>
      </c>
    </row>
    <row r="22" spans="1:9" ht="25.5">
      <c r="A22" s="329" t="s">
        <v>115</v>
      </c>
      <c r="B22" s="329" t="s">
        <v>95</v>
      </c>
      <c r="C22" s="330">
        <v>95875</v>
      </c>
      <c r="D22" s="331" t="s">
        <v>116</v>
      </c>
      <c r="E22" s="329" t="s">
        <v>117</v>
      </c>
      <c r="F22" s="343">
        <v>6781.16</v>
      </c>
      <c r="G22" s="336">
        <v>2.48</v>
      </c>
      <c r="H22" s="332">
        <f t="shared" si="0"/>
        <v>3.21</v>
      </c>
      <c r="I22" s="332">
        <f t="shared" si="1"/>
        <v>21767.52</v>
      </c>
    </row>
    <row r="23" spans="1:9" ht="18" customHeight="1">
      <c r="A23" s="546" t="s">
        <v>118</v>
      </c>
      <c r="B23" s="547"/>
      <c r="C23" s="547"/>
      <c r="D23" s="547"/>
      <c r="E23" s="547"/>
      <c r="F23" s="547"/>
      <c r="G23" s="547"/>
      <c r="H23" s="548"/>
      <c r="I23" s="337">
        <f>SUM(I14:I22)</f>
        <v>208083.32</v>
      </c>
    </row>
    <row r="24" spans="1:9" ht="18" customHeight="1">
      <c r="A24" s="549"/>
      <c r="B24" s="550"/>
      <c r="C24" s="550"/>
      <c r="D24" s="550"/>
      <c r="E24" s="550"/>
      <c r="F24" s="550"/>
      <c r="G24" s="550"/>
      <c r="H24" s="550"/>
      <c r="I24" s="551"/>
    </row>
    <row r="25" spans="1:9" ht="18" customHeight="1">
      <c r="A25" s="552">
        <v>3</v>
      </c>
      <c r="B25" s="553"/>
      <c r="C25" s="554"/>
      <c r="D25" s="555" t="s">
        <v>119</v>
      </c>
      <c r="E25" s="556"/>
      <c r="F25" s="556"/>
      <c r="G25" s="556"/>
      <c r="H25" s="556"/>
      <c r="I25" s="557"/>
    </row>
    <row r="26" spans="1:9" ht="18" customHeight="1">
      <c r="A26" s="329" t="s">
        <v>73</v>
      </c>
      <c r="B26" s="329" t="s">
        <v>89</v>
      </c>
      <c r="C26" s="330" t="s">
        <v>120</v>
      </c>
      <c r="D26" s="331" t="s">
        <v>121</v>
      </c>
      <c r="E26" s="329" t="s">
        <v>122</v>
      </c>
      <c r="F26" s="335">
        <v>1</v>
      </c>
      <c r="G26" s="336">
        <v>36982.959999999999</v>
      </c>
      <c r="H26" s="332">
        <f>TRUNC(G26*1.2977,2)</f>
        <v>47992.78</v>
      </c>
      <c r="I26" s="332">
        <f>H26*F26</f>
        <v>47992.78</v>
      </c>
    </row>
    <row r="27" spans="1:9" ht="18" customHeight="1">
      <c r="A27" s="546" t="s">
        <v>123</v>
      </c>
      <c r="B27" s="547"/>
      <c r="C27" s="547"/>
      <c r="D27" s="547"/>
      <c r="E27" s="547"/>
      <c r="F27" s="547"/>
      <c r="G27" s="547"/>
      <c r="H27" s="548"/>
      <c r="I27" s="337">
        <f>I26</f>
        <v>47992.78</v>
      </c>
    </row>
    <row r="28" spans="1:9" ht="18" customHeight="1">
      <c r="A28" s="549"/>
      <c r="B28" s="550"/>
      <c r="C28" s="550"/>
      <c r="D28" s="550"/>
      <c r="E28" s="550"/>
      <c r="F28" s="550"/>
      <c r="G28" s="550"/>
      <c r="H28" s="550"/>
      <c r="I28" s="551"/>
    </row>
    <row r="29" spans="1:9" ht="18" customHeight="1">
      <c r="A29" s="552">
        <v>4</v>
      </c>
      <c r="B29" s="553"/>
      <c r="C29" s="554"/>
      <c r="D29" s="555" t="s">
        <v>124</v>
      </c>
      <c r="E29" s="556"/>
      <c r="F29" s="556"/>
      <c r="G29" s="556"/>
      <c r="H29" s="556"/>
      <c r="I29" s="557"/>
    </row>
    <row r="30" spans="1:9" ht="71.25" customHeight="1">
      <c r="A30" s="329" t="s">
        <v>125</v>
      </c>
      <c r="B30" s="329" t="s">
        <v>95</v>
      </c>
      <c r="C30" s="330">
        <v>90087</v>
      </c>
      <c r="D30" s="331" t="s">
        <v>126</v>
      </c>
      <c r="E30" s="329" t="s">
        <v>114</v>
      </c>
      <c r="F30" s="343">
        <v>5257.01</v>
      </c>
      <c r="G30" s="336">
        <v>9.35</v>
      </c>
      <c r="H30" s="332">
        <f>TRUNC(G30*1.2977,2)</f>
        <v>12.13</v>
      </c>
      <c r="I30" s="332">
        <f>TRUNC(H30*F30,2)</f>
        <v>63767.53</v>
      </c>
    </row>
    <row r="31" spans="1:9" ht="63.75">
      <c r="A31" s="329" t="s">
        <v>127</v>
      </c>
      <c r="B31" s="329" t="s">
        <v>95</v>
      </c>
      <c r="C31" s="330">
        <v>90084</v>
      </c>
      <c r="D31" s="331" t="s">
        <v>128</v>
      </c>
      <c r="E31" s="329" t="s">
        <v>114</v>
      </c>
      <c r="F31" s="343">
        <v>314.5</v>
      </c>
      <c r="G31" s="336">
        <v>10.77</v>
      </c>
      <c r="H31" s="332">
        <f t="shared" ref="H31:H39" si="2">TRUNC(G31*1.2977,2)</f>
        <v>13.97</v>
      </c>
      <c r="I31" s="332">
        <f t="shared" ref="I31:I42" si="3">TRUNC(H31*F31,2)</f>
        <v>4393.5600000000004</v>
      </c>
    </row>
    <row r="32" spans="1:9" ht="25.5">
      <c r="A32" s="329" t="s">
        <v>129</v>
      </c>
      <c r="B32" s="329" t="s">
        <v>95</v>
      </c>
      <c r="C32" s="330">
        <v>101617</v>
      </c>
      <c r="D32" s="331" t="s">
        <v>130</v>
      </c>
      <c r="E32" s="329" t="s">
        <v>97</v>
      </c>
      <c r="F32" s="343">
        <v>2341.5500000000002</v>
      </c>
      <c r="G32" s="336">
        <v>2.85</v>
      </c>
      <c r="H32" s="332">
        <f t="shared" si="2"/>
        <v>3.69</v>
      </c>
      <c r="I32" s="332">
        <f t="shared" si="3"/>
        <v>8640.31</v>
      </c>
    </row>
    <row r="33" spans="1:9" ht="25.5">
      <c r="A33" s="329" t="s">
        <v>131</v>
      </c>
      <c r="B33" s="329" t="s">
        <v>95</v>
      </c>
      <c r="C33" s="330">
        <v>100323</v>
      </c>
      <c r="D33" s="331" t="s">
        <v>132</v>
      </c>
      <c r="E33" s="329" t="s">
        <v>114</v>
      </c>
      <c r="F33" s="343">
        <v>234.16</v>
      </c>
      <c r="G33" s="336">
        <v>165.03</v>
      </c>
      <c r="H33" s="332">
        <f t="shared" si="2"/>
        <v>214.15</v>
      </c>
      <c r="I33" s="332">
        <f t="shared" si="3"/>
        <v>50145.36</v>
      </c>
    </row>
    <row r="34" spans="1:9" ht="38.25">
      <c r="A34" s="329" t="s">
        <v>133</v>
      </c>
      <c r="B34" s="329" t="s">
        <v>95</v>
      </c>
      <c r="C34" s="330">
        <v>92226</v>
      </c>
      <c r="D34" s="331" t="s">
        <v>134</v>
      </c>
      <c r="E34" s="329" t="s">
        <v>107</v>
      </c>
      <c r="F34" s="343">
        <v>88.4</v>
      </c>
      <c r="G34" s="336">
        <v>576.79</v>
      </c>
      <c r="H34" s="332">
        <f t="shared" si="2"/>
        <v>748.5</v>
      </c>
      <c r="I34" s="332">
        <f t="shared" si="3"/>
        <v>66167.399999999994</v>
      </c>
    </row>
    <row r="35" spans="1:9" ht="38.25">
      <c r="A35" s="329" t="s">
        <v>135</v>
      </c>
      <c r="B35" s="329" t="s">
        <v>95</v>
      </c>
      <c r="C35" s="330">
        <v>92223</v>
      </c>
      <c r="D35" s="331" t="s">
        <v>136</v>
      </c>
      <c r="E35" s="329" t="s">
        <v>107</v>
      </c>
      <c r="F35" s="343">
        <v>1065.6400000000001</v>
      </c>
      <c r="G35" s="336">
        <v>477.05</v>
      </c>
      <c r="H35" s="332">
        <f t="shared" si="2"/>
        <v>619.05999999999995</v>
      </c>
      <c r="I35" s="332">
        <f t="shared" si="3"/>
        <v>659695.09</v>
      </c>
    </row>
    <row r="36" spans="1:9" ht="38.25">
      <c r="A36" s="329" t="s">
        <v>137</v>
      </c>
      <c r="B36" s="329" t="s">
        <v>95</v>
      </c>
      <c r="C36" s="330">
        <v>92219</v>
      </c>
      <c r="D36" s="331" t="s">
        <v>138</v>
      </c>
      <c r="E36" s="329" t="s">
        <v>107</v>
      </c>
      <c r="F36" s="343">
        <v>274.01</v>
      </c>
      <c r="G36" s="336">
        <v>171.3</v>
      </c>
      <c r="H36" s="332">
        <f t="shared" si="2"/>
        <v>222.29</v>
      </c>
      <c r="I36" s="332">
        <f t="shared" si="3"/>
        <v>60909.68</v>
      </c>
    </row>
    <row r="37" spans="1:9" ht="38.25">
      <c r="A37" s="329" t="s">
        <v>139</v>
      </c>
      <c r="B37" s="329" t="s">
        <v>95</v>
      </c>
      <c r="C37" s="330">
        <v>100950</v>
      </c>
      <c r="D37" s="331" t="s">
        <v>140</v>
      </c>
      <c r="E37" s="329" t="s">
        <v>141</v>
      </c>
      <c r="F37" s="343">
        <v>3953</v>
      </c>
      <c r="G37" s="336">
        <v>3.61</v>
      </c>
      <c r="H37" s="332">
        <f t="shared" si="2"/>
        <v>4.68</v>
      </c>
      <c r="I37" s="332">
        <f t="shared" si="3"/>
        <v>18500.04</v>
      </c>
    </row>
    <row r="38" spans="1:9" ht="63.75">
      <c r="A38" s="329" t="s">
        <v>142</v>
      </c>
      <c r="B38" s="329" t="s">
        <v>95</v>
      </c>
      <c r="C38" s="330">
        <v>93369</v>
      </c>
      <c r="D38" s="331" t="s">
        <v>143</v>
      </c>
      <c r="E38" s="329" t="s">
        <v>114</v>
      </c>
      <c r="F38" s="343">
        <v>4932.0200000000004</v>
      </c>
      <c r="G38" s="336">
        <v>15.86</v>
      </c>
      <c r="H38" s="332">
        <f t="shared" si="2"/>
        <v>20.58</v>
      </c>
      <c r="I38" s="332">
        <f t="shared" si="3"/>
        <v>101500.97</v>
      </c>
    </row>
    <row r="39" spans="1:9" ht="38.25">
      <c r="A39" s="329" t="s">
        <v>144</v>
      </c>
      <c r="B39" s="329" t="s">
        <v>95</v>
      </c>
      <c r="C39" s="330">
        <v>99267</v>
      </c>
      <c r="D39" s="331" t="s">
        <v>145</v>
      </c>
      <c r="E39" s="329" t="s">
        <v>122</v>
      </c>
      <c r="F39" s="343">
        <v>23</v>
      </c>
      <c r="G39" s="336">
        <v>5056.95</v>
      </c>
      <c r="H39" s="332">
        <f t="shared" si="2"/>
        <v>6562.4</v>
      </c>
      <c r="I39" s="332">
        <f t="shared" si="3"/>
        <v>150935.20000000001</v>
      </c>
    </row>
    <row r="40" spans="1:9" ht="38.25">
      <c r="A40" s="329" t="s">
        <v>146</v>
      </c>
      <c r="B40" s="329" t="s">
        <v>95</v>
      </c>
      <c r="C40" s="330">
        <v>21090</v>
      </c>
      <c r="D40" s="331" t="s">
        <v>147</v>
      </c>
      <c r="E40" s="329" t="s">
        <v>122</v>
      </c>
      <c r="F40" s="343">
        <v>23</v>
      </c>
      <c r="G40" s="336">
        <v>782.32</v>
      </c>
      <c r="H40" s="332">
        <f>TRUNC(G40*1.2977,2)</f>
        <v>1015.21</v>
      </c>
      <c r="I40" s="332">
        <f t="shared" si="3"/>
        <v>23349.83</v>
      </c>
    </row>
    <row r="41" spans="1:9" ht="38.25">
      <c r="A41" s="329" t="s">
        <v>148</v>
      </c>
      <c r="B41" s="329" t="s">
        <v>95</v>
      </c>
      <c r="C41" s="330">
        <v>97949</v>
      </c>
      <c r="D41" s="331" t="s">
        <v>149</v>
      </c>
      <c r="E41" s="329" t="s">
        <v>122</v>
      </c>
      <c r="F41" s="343">
        <v>44</v>
      </c>
      <c r="G41" s="336">
        <v>1900.1</v>
      </c>
      <c r="H41" s="332">
        <f>TRUNC(G41*1.2977,2)</f>
        <v>2465.75</v>
      </c>
      <c r="I41" s="332">
        <f t="shared" si="3"/>
        <v>108493</v>
      </c>
    </row>
    <row r="42" spans="1:9" ht="38.25">
      <c r="A42" s="329" t="s">
        <v>150</v>
      </c>
      <c r="B42" s="329" t="s">
        <v>95</v>
      </c>
      <c r="C42" s="330">
        <v>102740</v>
      </c>
      <c r="D42" s="331" t="s">
        <v>151</v>
      </c>
      <c r="E42" s="329" t="s">
        <v>122</v>
      </c>
      <c r="F42" s="343">
        <v>5</v>
      </c>
      <c r="G42" s="336">
        <v>5934.83</v>
      </c>
      <c r="H42" s="332">
        <f>TRUNC(G42*1.2977,2)</f>
        <v>7701.62</v>
      </c>
      <c r="I42" s="332">
        <f t="shared" si="3"/>
        <v>38508.1</v>
      </c>
    </row>
    <row r="43" spans="1:9" ht="18" customHeight="1">
      <c r="A43" s="329" t="s">
        <v>152</v>
      </c>
      <c r="B43" s="329" t="s">
        <v>153</v>
      </c>
      <c r="C43" s="330">
        <v>2003457</v>
      </c>
      <c r="D43" s="331" t="s">
        <v>154</v>
      </c>
      <c r="E43" s="329" t="s">
        <v>122</v>
      </c>
      <c r="F43" s="343">
        <v>5</v>
      </c>
      <c r="G43" s="336">
        <v>3100.49</v>
      </c>
      <c r="H43" s="332">
        <f>TRUNC(G43*1.2977,2)</f>
        <v>4023.5</v>
      </c>
      <c r="I43" s="332">
        <f>TRUNC(H43*F43,2)</f>
        <v>20117.5</v>
      </c>
    </row>
    <row r="44" spans="1:9" ht="18" customHeight="1">
      <c r="A44" s="558" t="s">
        <v>155</v>
      </c>
      <c r="B44" s="559"/>
      <c r="C44" s="559"/>
      <c r="D44" s="559"/>
      <c r="E44" s="559"/>
      <c r="F44" s="559"/>
      <c r="G44" s="559"/>
      <c r="H44" s="560"/>
      <c r="I44" s="341">
        <f>SUM(I30:I43)</f>
        <v>1375123.5700000003</v>
      </c>
    </row>
    <row r="45" spans="1:9" ht="18" customHeight="1">
      <c r="A45" s="552">
        <v>5</v>
      </c>
      <c r="B45" s="553"/>
      <c r="C45" s="554"/>
      <c r="D45" s="555" t="s">
        <v>156</v>
      </c>
      <c r="E45" s="556"/>
      <c r="F45" s="556"/>
      <c r="G45" s="556"/>
      <c r="H45" s="556"/>
      <c r="I45" s="557"/>
    </row>
    <row r="46" spans="1:9" ht="18" customHeight="1">
      <c r="A46" s="540" t="s">
        <v>157</v>
      </c>
      <c r="B46" s="541"/>
      <c r="C46" s="542"/>
      <c r="D46" s="338" t="s">
        <v>158</v>
      </c>
      <c r="E46" s="339"/>
      <c r="F46" s="339"/>
      <c r="G46" s="339"/>
      <c r="H46" s="339"/>
      <c r="I46" s="340"/>
    </row>
    <row r="47" spans="1:9" ht="18" customHeight="1">
      <c r="A47" s="329" t="s">
        <v>159</v>
      </c>
      <c r="B47" s="329" t="s">
        <v>95</v>
      </c>
      <c r="C47" s="330">
        <v>99064</v>
      </c>
      <c r="D47" s="331" t="s">
        <v>160</v>
      </c>
      <c r="E47" s="329" t="s">
        <v>107</v>
      </c>
      <c r="F47" s="343">
        <v>2869.3</v>
      </c>
      <c r="G47" s="336">
        <v>0.47</v>
      </c>
      <c r="H47" s="332">
        <f>TRUNC(G47*1.2977,2)</f>
        <v>0.6</v>
      </c>
      <c r="I47" s="332">
        <f>TRUNC(H47*F47,2)</f>
        <v>1721.58</v>
      </c>
    </row>
    <row r="48" spans="1:9" ht="18" customHeight="1">
      <c r="A48" s="558" t="s">
        <v>161</v>
      </c>
      <c r="B48" s="559"/>
      <c r="C48" s="559"/>
      <c r="D48" s="559"/>
      <c r="E48" s="559"/>
      <c r="F48" s="559"/>
      <c r="G48" s="559"/>
      <c r="H48" s="560"/>
      <c r="I48" s="341">
        <f>I47</f>
        <v>1721.58</v>
      </c>
    </row>
    <row r="49" spans="1:9" ht="18" customHeight="1">
      <c r="A49" s="540" t="s">
        <v>162</v>
      </c>
      <c r="B49" s="541"/>
      <c r="C49" s="542"/>
      <c r="D49" s="338" t="s">
        <v>163</v>
      </c>
      <c r="E49" s="339"/>
      <c r="F49" s="339"/>
      <c r="G49" s="339"/>
      <c r="H49" s="339"/>
      <c r="I49" s="340"/>
    </row>
    <row r="50" spans="1:9" ht="38.25">
      <c r="A50" s="329" t="s">
        <v>164</v>
      </c>
      <c r="B50" s="329" t="s">
        <v>95</v>
      </c>
      <c r="C50" s="330">
        <v>98525</v>
      </c>
      <c r="D50" s="331" t="s">
        <v>165</v>
      </c>
      <c r="E50" s="329" t="s">
        <v>97</v>
      </c>
      <c r="F50" s="343">
        <v>25258.829999999998</v>
      </c>
      <c r="G50" s="336">
        <v>0.38</v>
      </c>
      <c r="H50" s="332">
        <f>TRUNC(G50*1.2977,2)</f>
        <v>0.49</v>
      </c>
      <c r="I50" s="332">
        <f>TRUNC(H50*F50,2)</f>
        <v>12376.82</v>
      </c>
    </row>
    <row r="51" spans="1:9" ht="38.25">
      <c r="A51" s="329" t="s">
        <v>166</v>
      </c>
      <c r="B51" s="329" t="s">
        <v>95</v>
      </c>
      <c r="C51" s="330">
        <v>101126</v>
      </c>
      <c r="D51" s="331" t="s">
        <v>167</v>
      </c>
      <c r="E51" s="329" t="s">
        <v>114</v>
      </c>
      <c r="F51" s="343">
        <v>10517.53</v>
      </c>
      <c r="G51" s="336">
        <v>13.35</v>
      </c>
      <c r="H51" s="332">
        <f>TRUNC(G51*1.2977,2)</f>
        <v>17.32</v>
      </c>
      <c r="I51" s="332">
        <f>TRUNC(H51*F51,2)</f>
        <v>182163.61</v>
      </c>
    </row>
    <row r="52" spans="1:9" ht="25.5">
      <c r="A52" s="329" t="s">
        <v>168</v>
      </c>
      <c r="B52" s="329" t="s">
        <v>95</v>
      </c>
      <c r="C52" s="330">
        <v>95875</v>
      </c>
      <c r="D52" s="331" t="s">
        <v>116</v>
      </c>
      <c r="E52" s="329" t="s">
        <v>117</v>
      </c>
      <c r="F52" s="343">
        <v>105175.3</v>
      </c>
      <c r="G52" s="336">
        <v>2.48</v>
      </c>
      <c r="H52" s="332">
        <f>TRUNC(G52*1.2977,2)</f>
        <v>3.21</v>
      </c>
      <c r="I52" s="332">
        <f>TRUNC(H52*F52,2)</f>
        <v>337612.71</v>
      </c>
    </row>
    <row r="53" spans="1:9" ht="25.5">
      <c r="A53" s="329" t="s">
        <v>169</v>
      </c>
      <c r="B53" s="329" t="s">
        <v>95</v>
      </c>
      <c r="C53" s="330">
        <v>100576</v>
      </c>
      <c r="D53" s="331" t="s">
        <v>170</v>
      </c>
      <c r="E53" s="329" t="s">
        <v>97</v>
      </c>
      <c r="F53" s="343">
        <v>22558.35</v>
      </c>
      <c r="G53" s="336">
        <v>2.4900000000000002</v>
      </c>
      <c r="H53" s="332">
        <f>TRUNC(G53*1.2977,2)</f>
        <v>3.23</v>
      </c>
      <c r="I53" s="332">
        <f>TRUNC(H53*F53,2)</f>
        <v>72863.47</v>
      </c>
    </row>
    <row r="54" spans="1:9" ht="15" customHeight="1">
      <c r="A54" s="558" t="s">
        <v>171</v>
      </c>
      <c r="B54" s="559"/>
      <c r="C54" s="559"/>
      <c r="D54" s="559"/>
      <c r="E54" s="559"/>
      <c r="F54" s="559"/>
      <c r="G54" s="559"/>
      <c r="H54" s="560"/>
      <c r="I54" s="341">
        <f>SUM(I50:I53)</f>
        <v>605016.61</v>
      </c>
    </row>
    <row r="55" spans="1:9" ht="15" customHeight="1">
      <c r="A55" s="549"/>
      <c r="B55" s="550"/>
      <c r="C55" s="550"/>
      <c r="D55" s="550"/>
      <c r="E55" s="550"/>
      <c r="F55" s="550"/>
      <c r="G55" s="550"/>
      <c r="H55" s="550"/>
      <c r="I55" s="551"/>
    </row>
    <row r="56" spans="1:9" ht="18" customHeight="1">
      <c r="A56" s="540" t="s">
        <v>172</v>
      </c>
      <c r="B56" s="541"/>
      <c r="C56" s="542"/>
      <c r="D56" s="338" t="s">
        <v>173</v>
      </c>
      <c r="E56" s="339"/>
      <c r="F56" s="339"/>
      <c r="G56" s="339"/>
      <c r="H56" s="339"/>
      <c r="I56" s="340"/>
    </row>
    <row r="57" spans="1:9" ht="38.25">
      <c r="A57" s="329" t="s">
        <v>174</v>
      </c>
      <c r="B57" s="329" t="s">
        <v>95</v>
      </c>
      <c r="C57" s="330">
        <v>101126</v>
      </c>
      <c r="D57" s="331" t="s">
        <v>167</v>
      </c>
      <c r="E57" s="329" t="s">
        <v>114</v>
      </c>
      <c r="F57" s="343">
        <v>4511.67</v>
      </c>
      <c r="G57" s="336">
        <v>13.35</v>
      </c>
      <c r="H57" s="332">
        <f>TRUNC(G57*1.2977,2)</f>
        <v>17.32</v>
      </c>
      <c r="I57" s="332">
        <f>TRUNC(H57*F57,2)</f>
        <v>78142.12</v>
      </c>
    </row>
    <row r="58" spans="1:9" ht="28.5" customHeight="1">
      <c r="A58" s="329" t="s">
        <v>175</v>
      </c>
      <c r="B58" s="329" t="s">
        <v>95</v>
      </c>
      <c r="C58" s="330">
        <v>95875</v>
      </c>
      <c r="D58" s="331" t="s">
        <v>116</v>
      </c>
      <c r="E58" s="329" t="s">
        <v>117</v>
      </c>
      <c r="F58" s="343">
        <v>45116.7</v>
      </c>
      <c r="G58" s="336">
        <v>2.48</v>
      </c>
      <c r="H58" s="332">
        <f>TRUNC(G58*1.2977,2)</f>
        <v>3.21</v>
      </c>
      <c r="I58" s="332">
        <f>TRUNC(H58*F58,2)</f>
        <v>144824.6</v>
      </c>
    </row>
    <row r="59" spans="1:9" ht="51">
      <c r="A59" s="329" t="s">
        <v>176</v>
      </c>
      <c r="B59" s="329" t="s">
        <v>95</v>
      </c>
      <c r="C59" s="329">
        <v>101768</v>
      </c>
      <c r="D59" s="331" t="s">
        <v>177</v>
      </c>
      <c r="E59" s="329" t="s">
        <v>114</v>
      </c>
      <c r="F59" s="343">
        <v>4511.67</v>
      </c>
      <c r="G59" s="336">
        <v>23.95</v>
      </c>
      <c r="H59" s="332">
        <f>TRUNC(G59*1.2977,2)</f>
        <v>31.07</v>
      </c>
      <c r="I59" s="332">
        <f>TRUNC(H59*F59,2)</f>
        <v>140177.57999999999</v>
      </c>
    </row>
    <row r="60" spans="1:9">
      <c r="A60" s="558" t="s">
        <v>178</v>
      </c>
      <c r="B60" s="559"/>
      <c r="C60" s="559"/>
      <c r="D60" s="559"/>
      <c r="E60" s="559"/>
      <c r="F60" s="559"/>
      <c r="G60" s="559"/>
      <c r="H60" s="560"/>
      <c r="I60" s="341">
        <f>SUM(I57:I59)</f>
        <v>363144.3</v>
      </c>
    </row>
    <row r="61" spans="1:9">
      <c r="A61" s="549"/>
      <c r="B61" s="550"/>
      <c r="C61" s="550"/>
      <c r="D61" s="550"/>
      <c r="E61" s="550"/>
      <c r="F61" s="550"/>
      <c r="G61" s="550"/>
      <c r="H61" s="550"/>
      <c r="I61" s="551"/>
    </row>
    <row r="62" spans="1:9" ht="18" customHeight="1">
      <c r="A62" s="540" t="s">
        <v>179</v>
      </c>
      <c r="B62" s="541"/>
      <c r="C62" s="542"/>
      <c r="D62" s="338" t="s">
        <v>180</v>
      </c>
      <c r="E62" s="339"/>
      <c r="F62" s="339"/>
      <c r="G62" s="339"/>
      <c r="H62" s="339"/>
      <c r="I62" s="340"/>
    </row>
    <row r="63" spans="1:9" ht="38.25">
      <c r="A63" s="329" t="s">
        <v>181</v>
      </c>
      <c r="B63" s="329" t="s">
        <v>95</v>
      </c>
      <c r="C63" s="330">
        <v>101126</v>
      </c>
      <c r="D63" s="331" t="s">
        <v>167</v>
      </c>
      <c r="E63" s="329" t="s">
        <v>114</v>
      </c>
      <c r="F63" s="343">
        <v>3589.77</v>
      </c>
      <c r="G63" s="336">
        <v>13.35</v>
      </c>
      <c r="H63" s="332">
        <f>TRUNC(G63*1.2977,2)</f>
        <v>17.32</v>
      </c>
      <c r="I63" s="332">
        <f>TRUNC(H63*F63,2)</f>
        <v>62174.81</v>
      </c>
    </row>
    <row r="64" spans="1:9" ht="25.5">
      <c r="A64" s="329" t="s">
        <v>182</v>
      </c>
      <c r="B64" s="329" t="s">
        <v>95</v>
      </c>
      <c r="C64" s="330">
        <v>95875</v>
      </c>
      <c r="D64" s="331" t="s">
        <v>116</v>
      </c>
      <c r="E64" s="329" t="s">
        <v>117</v>
      </c>
      <c r="F64" s="343">
        <v>35897.699999999997</v>
      </c>
      <c r="G64" s="336">
        <v>2.48</v>
      </c>
      <c r="H64" s="332">
        <f>TRUNC(G64*1.2977,2)</f>
        <v>3.21</v>
      </c>
      <c r="I64" s="332">
        <f>TRUNC(H64*F64,2)</f>
        <v>115231.61</v>
      </c>
    </row>
    <row r="65" spans="1:9" ht="51">
      <c r="A65" s="329" t="s">
        <v>183</v>
      </c>
      <c r="B65" s="329" t="s">
        <v>95</v>
      </c>
      <c r="C65" s="329">
        <v>101768</v>
      </c>
      <c r="D65" s="331" t="s">
        <v>177</v>
      </c>
      <c r="E65" s="329" t="s">
        <v>114</v>
      </c>
      <c r="F65" s="343">
        <v>3589.77</v>
      </c>
      <c r="G65" s="336">
        <v>23.95</v>
      </c>
      <c r="H65" s="332">
        <f>TRUNC(G65*1.2977,2)</f>
        <v>31.07</v>
      </c>
      <c r="I65" s="332">
        <f>TRUNC(H65*F65,2)</f>
        <v>111534.15</v>
      </c>
    </row>
    <row r="66" spans="1:9" ht="18" customHeight="1">
      <c r="A66" s="558" t="s">
        <v>184</v>
      </c>
      <c r="B66" s="559"/>
      <c r="C66" s="559"/>
      <c r="D66" s="559"/>
      <c r="E66" s="559"/>
      <c r="F66" s="559"/>
      <c r="G66" s="559"/>
      <c r="H66" s="560"/>
      <c r="I66" s="341">
        <f>SUM(I63:I65)</f>
        <v>288940.56999999995</v>
      </c>
    </row>
    <row r="67" spans="1:9" ht="18" customHeight="1">
      <c r="A67" s="546" t="s">
        <v>185</v>
      </c>
      <c r="B67" s="547"/>
      <c r="C67" s="547"/>
      <c r="D67" s="547"/>
      <c r="E67" s="547"/>
      <c r="F67" s="547"/>
      <c r="G67" s="547"/>
      <c r="H67" s="548"/>
      <c r="I67" s="337">
        <f>I48+I54+I60+I66</f>
        <v>1258823.06</v>
      </c>
    </row>
    <row r="68" spans="1:9" ht="18" customHeight="1">
      <c r="A68" s="549"/>
      <c r="B68" s="550"/>
      <c r="C68" s="550"/>
      <c r="D68" s="550"/>
      <c r="E68" s="550"/>
      <c r="F68" s="550"/>
      <c r="G68" s="550"/>
      <c r="H68" s="550"/>
      <c r="I68" s="551"/>
    </row>
    <row r="69" spans="1:9" ht="18" customHeight="1">
      <c r="A69" s="552">
        <v>6</v>
      </c>
      <c r="B69" s="553"/>
      <c r="C69" s="554"/>
      <c r="D69" s="555" t="s">
        <v>186</v>
      </c>
      <c r="E69" s="556"/>
      <c r="F69" s="556"/>
      <c r="G69" s="556"/>
      <c r="H69" s="556"/>
      <c r="I69" s="557"/>
    </row>
    <row r="70" spans="1:9" ht="20.25" customHeight="1">
      <c r="A70" s="329" t="s">
        <v>187</v>
      </c>
      <c r="B70" s="329" t="s">
        <v>89</v>
      </c>
      <c r="C70" s="330" t="s">
        <v>188</v>
      </c>
      <c r="D70" s="331" t="s">
        <v>189</v>
      </c>
      <c r="E70" s="329" t="s">
        <v>97</v>
      </c>
      <c r="F70" s="343">
        <v>17949</v>
      </c>
      <c r="G70" s="336">
        <v>8.11</v>
      </c>
      <c r="H70" s="332">
        <f>TRUNC(G70*1.2977,2)</f>
        <v>10.52</v>
      </c>
      <c r="I70" s="332">
        <f>TRUNC(H70*F70,2)</f>
        <v>188823.48</v>
      </c>
    </row>
    <row r="71" spans="1:9" ht="25.5">
      <c r="A71" s="329" t="s">
        <v>190</v>
      </c>
      <c r="B71" s="329" t="s">
        <v>95</v>
      </c>
      <c r="C71" s="330">
        <v>96402</v>
      </c>
      <c r="D71" s="331" t="s">
        <v>191</v>
      </c>
      <c r="E71" s="329" t="s">
        <v>97</v>
      </c>
      <c r="F71" s="343">
        <v>17949</v>
      </c>
      <c r="G71" s="336">
        <v>3.83</v>
      </c>
      <c r="H71" s="332">
        <f>TRUNC(G71*1.2977,2)</f>
        <v>4.97</v>
      </c>
      <c r="I71" s="332">
        <f>TRUNC(H71*F71,2)</f>
        <v>89206.53</v>
      </c>
    </row>
    <row r="72" spans="1:9" ht="25.5">
      <c r="A72" s="329" t="s">
        <v>192</v>
      </c>
      <c r="B72" s="329" t="s">
        <v>95</v>
      </c>
      <c r="C72" s="330">
        <v>95876</v>
      </c>
      <c r="D72" s="331" t="s">
        <v>193</v>
      </c>
      <c r="E72" s="329" t="s">
        <v>117</v>
      </c>
      <c r="F72" s="343">
        <v>5384.7000000000007</v>
      </c>
      <c r="G72" s="336">
        <v>2.17</v>
      </c>
      <c r="H72" s="332">
        <f>TRUNC(G72*1.2977,2)</f>
        <v>2.81</v>
      </c>
      <c r="I72" s="332">
        <f>TRUNC(H72*F72,2)</f>
        <v>15131</v>
      </c>
    </row>
    <row r="73" spans="1:9" ht="45" customHeight="1">
      <c r="A73" s="329" t="s">
        <v>194</v>
      </c>
      <c r="B73" s="329" t="s">
        <v>95</v>
      </c>
      <c r="C73" s="330">
        <v>95995</v>
      </c>
      <c r="D73" s="331" t="s">
        <v>195</v>
      </c>
      <c r="E73" s="329" t="s">
        <v>114</v>
      </c>
      <c r="F73" s="343">
        <v>897.45</v>
      </c>
      <c r="G73" s="336">
        <v>2570.25</v>
      </c>
      <c r="H73" s="332">
        <f>TRUNC(G73*1.2977,2)</f>
        <v>3335.41</v>
      </c>
      <c r="I73" s="332">
        <f>TRUNC(H73*F73,2)</f>
        <v>2993363.7</v>
      </c>
    </row>
    <row r="74" spans="1:9" ht="18" customHeight="1">
      <c r="A74" s="546" t="s">
        <v>196</v>
      </c>
      <c r="B74" s="547"/>
      <c r="C74" s="547"/>
      <c r="D74" s="547"/>
      <c r="E74" s="547"/>
      <c r="F74" s="547"/>
      <c r="G74" s="547"/>
      <c r="H74" s="548"/>
      <c r="I74" s="337">
        <f>SUM(I70:I73)</f>
        <v>3286524.71</v>
      </c>
    </row>
    <row r="75" spans="1:9" ht="18" customHeight="1">
      <c r="A75" s="549"/>
      <c r="B75" s="550"/>
      <c r="C75" s="550"/>
      <c r="D75" s="550"/>
      <c r="E75" s="550"/>
      <c r="F75" s="550"/>
      <c r="G75" s="550"/>
      <c r="H75" s="550"/>
      <c r="I75" s="551"/>
    </row>
    <row r="76" spans="1:9" ht="18" customHeight="1">
      <c r="A76" s="552">
        <v>7</v>
      </c>
      <c r="B76" s="553"/>
      <c r="C76" s="554"/>
      <c r="D76" s="555" t="s">
        <v>197</v>
      </c>
      <c r="E76" s="556"/>
      <c r="F76" s="556"/>
      <c r="G76" s="556"/>
      <c r="H76" s="556"/>
      <c r="I76" s="557"/>
    </row>
    <row r="77" spans="1:9" ht="51">
      <c r="A77" s="329" t="s">
        <v>198</v>
      </c>
      <c r="B77" s="329" t="s">
        <v>95</v>
      </c>
      <c r="C77" s="330">
        <v>102512</v>
      </c>
      <c r="D77" s="331" t="s">
        <v>199</v>
      </c>
      <c r="E77" s="329" t="s">
        <v>107</v>
      </c>
      <c r="F77" s="343">
        <v>8633.4500000000007</v>
      </c>
      <c r="G77" s="336">
        <v>5.28</v>
      </c>
      <c r="H77" s="332">
        <f>TRUNC(G77*1.2977,2)</f>
        <v>6.85</v>
      </c>
      <c r="I77" s="332">
        <f>H77*F77</f>
        <v>59139.1325</v>
      </c>
    </row>
    <row r="78" spans="1:9" ht="25.5">
      <c r="A78" s="329" t="s">
        <v>200</v>
      </c>
      <c r="B78" s="329" t="s">
        <v>153</v>
      </c>
      <c r="C78" s="330" t="s">
        <v>201</v>
      </c>
      <c r="D78" s="331" t="s">
        <v>202</v>
      </c>
      <c r="E78" s="329" t="s">
        <v>122</v>
      </c>
      <c r="F78" s="343">
        <v>12</v>
      </c>
      <c r="G78" s="336">
        <v>252.72</v>
      </c>
      <c r="H78" s="332">
        <f>TRUNC(G78*1.2977,2)</f>
        <v>327.95</v>
      </c>
      <c r="I78" s="332">
        <f>H78*F78</f>
        <v>3935.3999999999996</v>
      </c>
    </row>
    <row r="79" spans="1:9" ht="25.5">
      <c r="A79" s="329" t="s">
        <v>203</v>
      </c>
      <c r="B79" s="329" t="s">
        <v>153</v>
      </c>
      <c r="C79" s="330" t="s">
        <v>204</v>
      </c>
      <c r="D79" s="331" t="s">
        <v>205</v>
      </c>
      <c r="E79" s="329" t="s">
        <v>122</v>
      </c>
      <c r="F79" s="343">
        <v>12</v>
      </c>
      <c r="G79" s="336">
        <v>452.66</v>
      </c>
      <c r="H79" s="332">
        <f>TRUNC(G79*1.2977,2)</f>
        <v>587.41</v>
      </c>
      <c r="I79" s="332">
        <f>H79*F79</f>
        <v>7048.92</v>
      </c>
    </row>
    <row r="80" spans="1:9" ht="18" customHeight="1">
      <c r="A80" s="546" t="s">
        <v>206</v>
      </c>
      <c r="B80" s="547"/>
      <c r="C80" s="547"/>
      <c r="D80" s="547"/>
      <c r="E80" s="547"/>
      <c r="F80" s="547"/>
      <c r="G80" s="547"/>
      <c r="H80" s="548"/>
      <c r="I80" s="337">
        <f>SUM(I77:I79)</f>
        <v>70123.452499999999</v>
      </c>
    </row>
    <row r="81" spans="1:9" ht="18" customHeight="1">
      <c r="A81" s="549"/>
      <c r="B81" s="550"/>
      <c r="C81" s="550"/>
      <c r="D81" s="550"/>
      <c r="E81" s="550"/>
      <c r="F81" s="550"/>
      <c r="G81" s="550"/>
      <c r="H81" s="550"/>
      <c r="I81" s="551"/>
    </row>
    <row r="82" spans="1:9" ht="18" customHeight="1">
      <c r="A82" s="552">
        <v>8</v>
      </c>
      <c r="B82" s="553"/>
      <c r="C82" s="554"/>
      <c r="D82" s="555" t="s">
        <v>207</v>
      </c>
      <c r="E82" s="556"/>
      <c r="F82" s="556"/>
      <c r="G82" s="556"/>
      <c r="H82" s="556"/>
      <c r="I82" s="557"/>
    </row>
    <row r="83" spans="1:9" ht="51">
      <c r="A83" s="329" t="s">
        <v>208</v>
      </c>
      <c r="B83" s="329" t="s">
        <v>95</v>
      </c>
      <c r="C83" s="330">
        <v>94267</v>
      </c>
      <c r="D83" s="331" t="s">
        <v>209</v>
      </c>
      <c r="E83" s="329" t="s">
        <v>107</v>
      </c>
      <c r="F83" s="343">
        <v>5544.83</v>
      </c>
      <c r="G83" s="336">
        <v>65.900000000000006</v>
      </c>
      <c r="H83" s="332">
        <f t="shared" ref="H83:H88" si="4">TRUNC(G83*1.2977,2)</f>
        <v>85.51</v>
      </c>
      <c r="I83" s="332">
        <f t="shared" ref="I83:I88" si="5">TRUNC(H83*F83,2)</f>
        <v>474138.41</v>
      </c>
    </row>
    <row r="84" spans="1:9" ht="38.25">
      <c r="A84" s="329" t="s">
        <v>210</v>
      </c>
      <c r="B84" s="329" t="s">
        <v>95</v>
      </c>
      <c r="C84" s="330">
        <v>101126</v>
      </c>
      <c r="D84" s="331" t="s">
        <v>167</v>
      </c>
      <c r="E84" s="329" t="s">
        <v>114</v>
      </c>
      <c r="F84" s="343">
        <v>554.70000000000005</v>
      </c>
      <c r="G84" s="336">
        <v>13.35</v>
      </c>
      <c r="H84" s="332">
        <f t="shared" si="4"/>
        <v>17.32</v>
      </c>
      <c r="I84" s="332">
        <f t="shared" si="5"/>
        <v>9607.4</v>
      </c>
    </row>
    <row r="85" spans="1:9" ht="25.5">
      <c r="A85" s="329" t="s">
        <v>211</v>
      </c>
      <c r="B85" s="329" t="s">
        <v>95</v>
      </c>
      <c r="C85" s="330">
        <v>95875</v>
      </c>
      <c r="D85" s="331" t="s">
        <v>116</v>
      </c>
      <c r="E85" s="329" t="s">
        <v>117</v>
      </c>
      <c r="F85" s="343">
        <v>5547</v>
      </c>
      <c r="G85" s="336">
        <v>2.48</v>
      </c>
      <c r="H85" s="332">
        <f t="shared" si="4"/>
        <v>3.21</v>
      </c>
      <c r="I85" s="332">
        <f t="shared" si="5"/>
        <v>17805.87</v>
      </c>
    </row>
    <row r="86" spans="1:9" ht="38.25">
      <c r="A86" s="329" t="s">
        <v>212</v>
      </c>
      <c r="B86" s="329" t="s">
        <v>95</v>
      </c>
      <c r="C86" s="330">
        <v>101617</v>
      </c>
      <c r="D86" s="331" t="s">
        <v>213</v>
      </c>
      <c r="E86" s="329" t="s">
        <v>97</v>
      </c>
      <c r="F86" s="343">
        <v>5547</v>
      </c>
      <c r="G86" s="336">
        <v>2.85</v>
      </c>
      <c r="H86" s="332">
        <f t="shared" si="4"/>
        <v>3.69</v>
      </c>
      <c r="I86" s="332">
        <f t="shared" si="5"/>
        <v>20468.43</v>
      </c>
    </row>
    <row r="87" spans="1:9" ht="38.25">
      <c r="A87" s="329" t="s">
        <v>214</v>
      </c>
      <c r="B87" s="329" t="s">
        <v>95</v>
      </c>
      <c r="C87" s="330">
        <v>94994</v>
      </c>
      <c r="D87" s="331" t="s">
        <v>215</v>
      </c>
      <c r="E87" s="329" t="s">
        <v>97</v>
      </c>
      <c r="F87" s="343">
        <v>5547</v>
      </c>
      <c r="G87" s="336">
        <v>110.64</v>
      </c>
      <c r="H87" s="332">
        <f t="shared" si="4"/>
        <v>143.57</v>
      </c>
      <c r="I87" s="332">
        <f t="shared" si="5"/>
        <v>796382.79</v>
      </c>
    </row>
    <row r="88" spans="1:9" ht="25.5">
      <c r="A88" s="329" t="s">
        <v>216</v>
      </c>
      <c r="B88" s="329" t="s">
        <v>95</v>
      </c>
      <c r="C88" s="330">
        <v>102498</v>
      </c>
      <c r="D88" s="331" t="s">
        <v>217</v>
      </c>
      <c r="E88" s="329" t="s">
        <v>107</v>
      </c>
      <c r="F88" s="343">
        <v>5544.83</v>
      </c>
      <c r="G88" s="336">
        <v>1.63</v>
      </c>
      <c r="H88" s="332">
        <f t="shared" si="4"/>
        <v>2.11</v>
      </c>
      <c r="I88" s="332">
        <f t="shared" si="5"/>
        <v>11699.59</v>
      </c>
    </row>
    <row r="89" spans="1:9" ht="18" customHeight="1">
      <c r="A89" s="546" t="s">
        <v>206</v>
      </c>
      <c r="B89" s="547"/>
      <c r="C89" s="547"/>
      <c r="D89" s="547"/>
      <c r="E89" s="547"/>
      <c r="F89" s="547"/>
      <c r="G89" s="547"/>
      <c r="H89" s="548"/>
      <c r="I89" s="337">
        <f>SUM(I83:I88)</f>
        <v>1330102.49</v>
      </c>
    </row>
    <row r="90" spans="1:9" ht="18" customHeight="1">
      <c r="A90" s="549"/>
      <c r="B90" s="550"/>
      <c r="C90" s="550"/>
      <c r="D90" s="550"/>
      <c r="E90" s="550"/>
      <c r="F90" s="550"/>
      <c r="G90" s="550"/>
      <c r="H90" s="550"/>
      <c r="I90" s="551"/>
    </row>
    <row r="91" spans="1:9" ht="18" customHeight="1">
      <c r="A91" s="543" t="s">
        <v>218</v>
      </c>
      <c r="B91" s="544"/>
      <c r="C91" s="544"/>
      <c r="D91" s="544"/>
      <c r="E91" s="544"/>
      <c r="F91" s="544"/>
      <c r="G91" s="544"/>
      <c r="H91" s="545"/>
      <c r="I91" s="342">
        <f>I10+I23+I27+I44+I67+I74+I80+I89</f>
        <v>7722375.3225000007</v>
      </c>
    </row>
    <row r="94" spans="1:9" ht="48.75" customHeight="1"/>
    <row r="95" spans="1:9">
      <c r="D95" s="94" t="s">
        <v>219</v>
      </c>
    </row>
    <row r="96" spans="1:9">
      <c r="D96" s="94" t="s">
        <v>220</v>
      </c>
    </row>
    <row r="97" spans="4:4">
      <c r="D97" s="94" t="s">
        <v>221</v>
      </c>
    </row>
  </sheetData>
  <autoFilter ref="A7:I97" xr:uid="{7731DFB7-FDD3-44BD-89A8-AC8B8A9E14B5}"/>
  <mergeCells count="51">
    <mergeCell ref="A6:I6"/>
    <mergeCell ref="A1:I1"/>
    <mergeCell ref="A2:I2"/>
    <mergeCell ref="A3:I3"/>
    <mergeCell ref="A4:I4"/>
    <mergeCell ref="A5:F5"/>
    <mergeCell ref="H5:I5"/>
    <mergeCell ref="A28:I28"/>
    <mergeCell ref="A8:C8"/>
    <mergeCell ref="D8:I8"/>
    <mergeCell ref="A10:H10"/>
    <mergeCell ref="A11:I11"/>
    <mergeCell ref="A12:C12"/>
    <mergeCell ref="D12:I12"/>
    <mergeCell ref="A23:H23"/>
    <mergeCell ref="A24:I24"/>
    <mergeCell ref="A25:C25"/>
    <mergeCell ref="D25:I25"/>
    <mergeCell ref="A27:H27"/>
    <mergeCell ref="A68:I68"/>
    <mergeCell ref="A29:C29"/>
    <mergeCell ref="D29:I29"/>
    <mergeCell ref="A54:H54"/>
    <mergeCell ref="A55:I55"/>
    <mergeCell ref="A56:C56"/>
    <mergeCell ref="A44:H44"/>
    <mergeCell ref="A48:H48"/>
    <mergeCell ref="A46:C46"/>
    <mergeCell ref="A45:C45"/>
    <mergeCell ref="D45:I45"/>
    <mergeCell ref="A60:H60"/>
    <mergeCell ref="A61:I61"/>
    <mergeCell ref="A62:C62"/>
    <mergeCell ref="A66:H66"/>
    <mergeCell ref="A67:H67"/>
    <mergeCell ref="A13:C13"/>
    <mergeCell ref="A16:C16"/>
    <mergeCell ref="A91:H91"/>
    <mergeCell ref="A49:C49"/>
    <mergeCell ref="A80:H80"/>
    <mergeCell ref="A81:I81"/>
    <mergeCell ref="A82:C82"/>
    <mergeCell ref="D82:I82"/>
    <mergeCell ref="A89:H89"/>
    <mergeCell ref="A90:I90"/>
    <mergeCell ref="A69:C69"/>
    <mergeCell ref="D69:I69"/>
    <mergeCell ref="A74:H74"/>
    <mergeCell ref="A75:I75"/>
    <mergeCell ref="A76:C76"/>
    <mergeCell ref="D76:I76"/>
  </mergeCells>
  <phoneticPr fontId="65" type="noConversion"/>
  <printOptions horizontalCentered="1" verticalCentered="1"/>
  <pageMargins left="0.51181102362204722" right="0.31496062992125984" top="0.59055118110236227" bottom="0.59055118110236227" header="0.31496062992125984" footer="0.31496062992125984"/>
  <pageSetup paperSize="9" scale="7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0744E-9591-4381-823D-15831D7632C0}">
  <dimension ref="A1:K76"/>
  <sheetViews>
    <sheetView workbookViewId="0">
      <selection activeCell="C55" sqref="C55"/>
    </sheetView>
  </sheetViews>
  <sheetFormatPr defaultRowHeight="12.75"/>
  <cols>
    <col min="1" max="1" width="6" customWidth="1"/>
    <col min="2" max="2" width="15.85546875" customWidth="1"/>
    <col min="3" max="3" width="8.85546875" customWidth="1"/>
    <col min="4" max="4" width="11.7109375" bestFit="1" customWidth="1"/>
    <col min="5" max="5" width="76" customWidth="1"/>
    <col min="6" max="6" width="21.28515625" customWidth="1"/>
    <col min="7" max="7" width="10" customWidth="1"/>
    <col min="8" max="8" width="9.140625" customWidth="1"/>
    <col min="9" max="9" width="10.42578125" customWidth="1"/>
    <col min="10" max="10" width="14.85546875" customWidth="1"/>
    <col min="11" max="11" width="16" customWidth="1"/>
  </cols>
  <sheetData>
    <row r="1" spans="1:11">
      <c r="A1" s="382"/>
      <c r="B1" s="382"/>
      <c r="C1" s="382"/>
      <c r="D1" s="382"/>
      <c r="E1" s="382"/>
      <c r="F1" s="382"/>
      <c r="G1" s="382"/>
      <c r="H1" s="382"/>
      <c r="I1" s="382"/>
      <c r="J1" s="382"/>
      <c r="K1" s="382"/>
    </row>
    <row r="2" spans="1:11" ht="17.25">
      <c r="A2" s="383"/>
      <c r="B2" s="384"/>
      <c r="C2" s="384"/>
      <c r="D2" s="384"/>
      <c r="E2" s="385"/>
      <c r="F2" s="384"/>
      <c r="G2" s="384"/>
      <c r="H2" s="384" t="s">
        <v>222</v>
      </c>
      <c r="I2" s="384"/>
      <c r="J2" s="384"/>
      <c r="K2" s="386"/>
    </row>
    <row r="3" spans="1:11" ht="48.75" customHeight="1">
      <c r="A3" s="571" t="s">
        <v>223</v>
      </c>
      <c r="B3" s="660"/>
      <c r="C3" s="660"/>
      <c r="D3" s="382"/>
      <c r="E3" s="568" t="str">
        <f>PLANILHA!A4</f>
        <v>OBJETO: CONTRATAÇÃO DE EMPRESA ESPECIALIZADA EM ENGENHARIA PARA EXECUÇÃO DE SERVIÇOS DE DRENAGEM, TERRAPLENAGEM E PAVIMENTAÇÃO ASFÁLTICA, LOCALIZADA NA AV. MAÇARANDUBA, RUA DEUSANIRA, AV. BRAGANÇA, RUA GRAVIOLA, RUA JAMBEIRO, RUA ÓBIDOS, RUA SÃO MIGUEL E RUA SEBERI  NA CIDADE DE TUCUMÃ NO ESTADO DO PARÁ</v>
      </c>
      <c r="F3" s="568"/>
      <c r="G3" s="568"/>
      <c r="H3" s="568"/>
      <c r="I3" s="568"/>
      <c r="J3" s="568"/>
      <c r="K3" s="569"/>
    </row>
    <row r="4" spans="1:11" ht="17.25">
      <c r="A4" s="388"/>
      <c r="B4" s="382"/>
      <c r="C4" s="382"/>
      <c r="D4" s="382"/>
      <c r="E4" s="389"/>
      <c r="F4" s="382"/>
      <c r="G4" s="382"/>
      <c r="H4" s="382"/>
      <c r="I4" s="382"/>
      <c r="J4" s="382"/>
      <c r="K4" s="387"/>
    </row>
    <row r="5" spans="1:11" ht="26.25">
      <c r="A5" s="388"/>
      <c r="B5" s="382"/>
      <c r="C5" s="382"/>
      <c r="D5" s="382"/>
      <c r="E5" s="390" t="s">
        <v>224</v>
      </c>
      <c r="F5" s="382"/>
      <c r="G5" s="382"/>
      <c r="H5" s="382"/>
      <c r="I5" s="382"/>
      <c r="J5" s="382"/>
      <c r="K5" s="387"/>
    </row>
    <row r="6" spans="1:11">
      <c r="A6" s="391"/>
      <c r="B6" s="392"/>
      <c r="C6" s="392"/>
      <c r="D6" s="392"/>
      <c r="E6" s="392"/>
      <c r="F6" s="392"/>
      <c r="G6" s="392"/>
      <c r="H6" s="392"/>
      <c r="I6" s="392"/>
      <c r="J6" s="392"/>
      <c r="K6" s="393"/>
    </row>
    <row r="7" spans="1:11">
      <c r="A7" s="382"/>
      <c r="B7" s="382"/>
      <c r="C7" s="382"/>
      <c r="D7" s="382"/>
      <c r="E7" s="382"/>
      <c r="F7" s="382"/>
      <c r="G7" s="382"/>
      <c r="H7" s="382"/>
      <c r="I7" s="382"/>
      <c r="J7" s="382"/>
      <c r="K7" s="382"/>
    </row>
    <row r="8" spans="1:11" ht="23.25">
      <c r="E8" s="394" t="s">
        <v>225</v>
      </c>
    </row>
    <row r="9" spans="1:11">
      <c r="A9" s="395"/>
      <c r="E9" s="395"/>
      <c r="F9" s="395"/>
      <c r="I9" s="395"/>
      <c r="J9" s="395"/>
      <c r="K9" s="224"/>
    </row>
    <row r="10" spans="1:11">
      <c r="A10" s="447"/>
      <c r="B10" s="448" t="s">
        <v>226</v>
      </c>
      <c r="C10" s="448" t="s">
        <v>227</v>
      </c>
      <c r="D10" s="448" t="s">
        <v>228</v>
      </c>
      <c r="E10" s="449" t="s">
        <v>229</v>
      </c>
      <c r="F10" s="449" t="s">
        <v>230</v>
      </c>
      <c r="G10" s="448"/>
      <c r="H10" s="448" t="s">
        <v>231</v>
      </c>
      <c r="I10" s="449" t="s">
        <v>232</v>
      </c>
      <c r="J10" s="449" t="s">
        <v>233</v>
      </c>
      <c r="K10" s="450" t="s">
        <v>234</v>
      </c>
    </row>
    <row r="11" spans="1:11" ht="15.75">
      <c r="A11" s="451" t="s">
        <v>235</v>
      </c>
      <c r="B11" s="452" t="s">
        <v>236</v>
      </c>
      <c r="C11" s="452" t="s">
        <v>237</v>
      </c>
      <c r="D11" s="452">
        <v>1</v>
      </c>
      <c r="E11" s="453" t="s">
        <v>238</v>
      </c>
      <c r="F11" s="453" t="s">
        <v>239</v>
      </c>
      <c r="G11" s="452"/>
      <c r="H11" s="452" t="s">
        <v>91</v>
      </c>
      <c r="I11" s="453">
        <v>1</v>
      </c>
      <c r="J11" s="453">
        <v>37400</v>
      </c>
      <c r="K11" s="454">
        <v>37400</v>
      </c>
    </row>
    <row r="12" spans="1:11">
      <c r="A12" s="437" t="s">
        <v>240</v>
      </c>
      <c r="B12" s="438" t="s">
        <v>241</v>
      </c>
      <c r="C12" s="438" t="s">
        <v>95</v>
      </c>
      <c r="D12" s="438">
        <v>90778</v>
      </c>
      <c r="E12" s="437" t="s">
        <v>242</v>
      </c>
      <c r="F12" s="437" t="s">
        <v>243</v>
      </c>
      <c r="G12" s="437"/>
      <c r="H12" s="438" t="s">
        <v>244</v>
      </c>
      <c r="I12" s="437">
        <v>220</v>
      </c>
      <c r="J12" s="437">
        <v>109.19</v>
      </c>
      <c r="K12" s="439">
        <v>24021.8</v>
      </c>
    </row>
    <row r="13" spans="1:11">
      <c r="A13" s="437" t="s">
        <v>240</v>
      </c>
      <c r="B13" s="438" t="s">
        <v>241</v>
      </c>
      <c r="C13" s="438" t="s">
        <v>95</v>
      </c>
      <c r="D13" s="438">
        <v>90776</v>
      </c>
      <c r="E13" s="437" t="s">
        <v>245</v>
      </c>
      <c r="F13" s="437" t="s">
        <v>243</v>
      </c>
      <c r="G13" s="437"/>
      <c r="H13" s="438" t="s">
        <v>244</v>
      </c>
      <c r="I13" s="437">
        <v>220</v>
      </c>
      <c r="J13" s="437">
        <v>21.37</v>
      </c>
      <c r="K13" s="439">
        <v>4701.3999999999996</v>
      </c>
    </row>
    <row r="14" spans="1:11">
      <c r="A14" s="437" t="s">
        <v>240</v>
      </c>
      <c r="B14" s="438" t="s">
        <v>241</v>
      </c>
      <c r="C14" s="438" t="s">
        <v>95</v>
      </c>
      <c r="D14" s="438">
        <v>100289</v>
      </c>
      <c r="E14" s="437" t="s">
        <v>246</v>
      </c>
      <c r="F14" s="437" t="s">
        <v>243</v>
      </c>
      <c r="G14" s="437"/>
      <c r="H14" s="438" t="s">
        <v>244</v>
      </c>
      <c r="I14" s="437">
        <v>440</v>
      </c>
      <c r="J14" s="437">
        <v>19.72</v>
      </c>
      <c r="K14" s="439">
        <v>8676.7999999999993</v>
      </c>
    </row>
    <row r="15" spans="1:11">
      <c r="A15" s="437"/>
      <c r="B15" s="438"/>
      <c r="C15" s="438"/>
      <c r="D15" s="438"/>
      <c r="E15" s="437"/>
      <c r="F15" s="437"/>
      <c r="G15" s="437"/>
      <c r="H15" s="438"/>
      <c r="I15" s="437"/>
      <c r="J15" s="437"/>
      <c r="K15" s="439"/>
    </row>
    <row r="16" spans="1:11">
      <c r="A16" s="395" t="s">
        <v>240</v>
      </c>
      <c r="E16" s="395"/>
      <c r="F16" s="395" t="s">
        <v>247</v>
      </c>
      <c r="G16" s="224">
        <v>17898.669999999998</v>
      </c>
      <c r="H16" t="s">
        <v>248</v>
      </c>
      <c r="I16" s="501">
        <v>15011.61</v>
      </c>
      <c r="J16" s="395" t="s">
        <v>249</v>
      </c>
      <c r="K16" s="224">
        <v>32910.28</v>
      </c>
    </row>
    <row r="17" spans="1:11" ht="15">
      <c r="A17" s="440" t="s">
        <v>240</v>
      </c>
      <c r="B17" s="441"/>
      <c r="C17" s="441"/>
      <c r="D17" s="441"/>
      <c r="E17" s="440"/>
      <c r="F17" s="442" t="s">
        <v>250</v>
      </c>
      <c r="G17" s="443">
        <v>11133.98</v>
      </c>
      <c r="H17" s="444"/>
      <c r="I17" s="445"/>
      <c r="J17" s="442" t="s">
        <v>251</v>
      </c>
      <c r="K17" s="443">
        <v>48533.98</v>
      </c>
    </row>
    <row r="18" spans="1:11">
      <c r="A18" s="395"/>
      <c r="E18" s="395"/>
      <c r="F18" s="395"/>
      <c r="I18" s="395"/>
      <c r="J18" s="395"/>
      <c r="K18" s="224"/>
    </row>
    <row r="19" spans="1:11">
      <c r="A19" s="447"/>
      <c r="B19" s="448" t="s">
        <v>226</v>
      </c>
      <c r="C19" s="448" t="s">
        <v>227</v>
      </c>
      <c r="D19" s="448" t="s">
        <v>228</v>
      </c>
      <c r="E19" s="449" t="s">
        <v>229</v>
      </c>
      <c r="F19" s="449" t="s">
        <v>230</v>
      </c>
      <c r="G19" s="448"/>
      <c r="H19" s="448" t="s">
        <v>231</v>
      </c>
      <c r="I19" s="449" t="s">
        <v>232</v>
      </c>
      <c r="J19" s="449" t="s">
        <v>233</v>
      </c>
      <c r="K19" s="450" t="s">
        <v>234</v>
      </c>
    </row>
    <row r="20" spans="1:11" ht="31.5">
      <c r="A20" s="451" t="s">
        <v>252</v>
      </c>
      <c r="B20" s="452" t="s">
        <v>236</v>
      </c>
      <c r="C20" s="452" t="s">
        <v>237</v>
      </c>
      <c r="D20" s="452">
        <v>2</v>
      </c>
      <c r="E20" s="453" t="s">
        <v>253</v>
      </c>
      <c r="F20" s="453" t="s">
        <v>93</v>
      </c>
      <c r="G20" s="452"/>
      <c r="H20" s="452" t="s">
        <v>91</v>
      </c>
      <c r="I20" s="453">
        <v>1</v>
      </c>
      <c r="J20" s="453">
        <v>2515.61</v>
      </c>
      <c r="K20" s="454">
        <v>2515.61</v>
      </c>
    </row>
    <row r="21" spans="1:11" ht="24">
      <c r="A21" s="437" t="s">
        <v>240</v>
      </c>
      <c r="B21" s="438" t="s">
        <v>254</v>
      </c>
      <c r="C21" s="438" t="s">
        <v>95</v>
      </c>
      <c r="D21" s="438">
        <v>10775</v>
      </c>
      <c r="E21" s="437" t="s">
        <v>255</v>
      </c>
      <c r="F21" s="437" t="s">
        <v>256</v>
      </c>
      <c r="G21" s="438"/>
      <c r="H21" s="438" t="s">
        <v>257</v>
      </c>
      <c r="I21" s="437">
        <v>1</v>
      </c>
      <c r="J21" s="437">
        <v>862.5</v>
      </c>
      <c r="K21" s="439">
        <v>862.5</v>
      </c>
    </row>
    <row r="22" spans="1:11" ht="24">
      <c r="A22" s="437" t="s">
        <v>240</v>
      </c>
      <c r="B22" s="438" t="s">
        <v>254</v>
      </c>
      <c r="C22" s="438" t="s">
        <v>95</v>
      </c>
      <c r="D22" s="438">
        <v>10776</v>
      </c>
      <c r="E22" s="437" t="s">
        <v>258</v>
      </c>
      <c r="F22" s="437" t="s">
        <v>256</v>
      </c>
      <c r="G22" s="438"/>
      <c r="H22" s="438" t="s">
        <v>257</v>
      </c>
      <c r="I22" s="437">
        <v>1</v>
      </c>
      <c r="J22" s="437">
        <v>673.82</v>
      </c>
      <c r="K22" s="439">
        <v>673.82</v>
      </c>
    </row>
    <row r="23" spans="1:11" ht="24">
      <c r="A23" s="437" t="s">
        <v>240</v>
      </c>
      <c r="B23" s="438" t="s">
        <v>254</v>
      </c>
      <c r="C23" s="438" t="s">
        <v>95</v>
      </c>
      <c r="D23" s="438">
        <v>10777</v>
      </c>
      <c r="E23" s="437" t="s">
        <v>259</v>
      </c>
      <c r="F23" s="437" t="s">
        <v>256</v>
      </c>
      <c r="G23" s="438"/>
      <c r="H23" s="438" t="s">
        <v>257</v>
      </c>
      <c r="I23" s="437">
        <v>1</v>
      </c>
      <c r="J23" s="437">
        <v>979.29</v>
      </c>
      <c r="K23" s="439">
        <v>979.29</v>
      </c>
    </row>
    <row r="24" spans="1:11">
      <c r="A24" s="395"/>
      <c r="E24" s="395"/>
      <c r="F24" s="395"/>
      <c r="I24" s="395"/>
      <c r="J24" s="395"/>
      <c r="K24" s="224"/>
    </row>
    <row r="25" spans="1:11" ht="15">
      <c r="A25" s="440" t="s">
        <v>240</v>
      </c>
      <c r="B25" s="441"/>
      <c r="C25" s="441"/>
      <c r="D25" s="441"/>
      <c r="E25" s="440"/>
      <c r="F25" s="442" t="s">
        <v>247</v>
      </c>
      <c r="G25" s="443">
        <v>0</v>
      </c>
      <c r="H25" s="444" t="s">
        <v>248</v>
      </c>
      <c r="I25" s="445">
        <v>0</v>
      </c>
      <c r="J25" s="442" t="s">
        <v>249</v>
      </c>
      <c r="K25" s="443">
        <v>0</v>
      </c>
    </row>
    <row r="26" spans="1:11" ht="15">
      <c r="A26" s="440" t="s">
        <v>240</v>
      </c>
      <c r="B26" s="441"/>
      <c r="C26" s="441"/>
      <c r="D26" s="441"/>
      <c r="E26" s="440"/>
      <c r="F26" s="442" t="s">
        <v>250</v>
      </c>
      <c r="G26" s="443">
        <v>748.89</v>
      </c>
      <c r="H26" s="441"/>
      <c r="I26" s="440"/>
      <c r="J26" s="442" t="s">
        <v>251</v>
      </c>
      <c r="K26" s="443">
        <v>3264.5</v>
      </c>
    </row>
    <row r="27" spans="1:11">
      <c r="A27" s="395"/>
      <c r="E27" s="395"/>
      <c r="F27" s="395"/>
      <c r="I27" s="395"/>
      <c r="J27" s="395"/>
      <c r="K27" s="224"/>
    </row>
    <row r="28" spans="1:11">
      <c r="A28" s="447"/>
      <c r="B28" s="448" t="s">
        <v>226</v>
      </c>
      <c r="C28" s="448" t="s">
        <v>227</v>
      </c>
      <c r="D28" s="448" t="s">
        <v>228</v>
      </c>
      <c r="E28" s="449" t="s">
        <v>229</v>
      </c>
      <c r="F28" s="449" t="s">
        <v>230</v>
      </c>
      <c r="G28" s="448"/>
      <c r="H28" s="448" t="s">
        <v>231</v>
      </c>
      <c r="I28" s="449" t="s">
        <v>232</v>
      </c>
      <c r="J28" s="449" t="s">
        <v>233</v>
      </c>
      <c r="K28" s="450" t="s">
        <v>234</v>
      </c>
    </row>
    <row r="29" spans="1:11" ht="31.5">
      <c r="A29" s="451" t="s">
        <v>73</v>
      </c>
      <c r="B29" s="452" t="s">
        <v>236</v>
      </c>
      <c r="C29" s="452" t="s">
        <v>237</v>
      </c>
      <c r="D29" s="452" t="s">
        <v>260</v>
      </c>
      <c r="E29" s="453" t="s">
        <v>261</v>
      </c>
      <c r="F29" s="453" t="s">
        <v>93</v>
      </c>
      <c r="G29" s="452"/>
      <c r="H29" s="452" t="s">
        <v>262</v>
      </c>
      <c r="I29" s="453">
        <v>1</v>
      </c>
      <c r="J29" s="453">
        <v>36982.959999999999</v>
      </c>
      <c r="K29" s="454">
        <v>36982.959999999999</v>
      </c>
    </row>
    <row r="30" spans="1:11">
      <c r="A30" s="437" t="s">
        <v>240</v>
      </c>
      <c r="B30" s="438" t="s">
        <v>254</v>
      </c>
      <c r="C30" s="438" t="s">
        <v>263</v>
      </c>
      <c r="D30" s="438" t="s">
        <v>264</v>
      </c>
      <c r="E30" s="437" t="s">
        <v>265</v>
      </c>
      <c r="F30" s="437" t="s">
        <v>256</v>
      </c>
      <c r="G30" s="438"/>
      <c r="H30" s="438" t="s">
        <v>231</v>
      </c>
      <c r="I30" s="437">
        <v>40</v>
      </c>
      <c r="J30" s="437">
        <v>394.10309999999998</v>
      </c>
      <c r="K30" s="439">
        <v>15764.12</v>
      </c>
    </row>
    <row r="31" spans="1:11" ht="36">
      <c r="A31" s="437" t="s">
        <v>240</v>
      </c>
      <c r="B31" s="438" t="s">
        <v>241</v>
      </c>
      <c r="C31" s="438" t="s">
        <v>95</v>
      </c>
      <c r="D31" s="438">
        <v>5824</v>
      </c>
      <c r="E31" s="437" t="s">
        <v>266</v>
      </c>
      <c r="F31" s="437" t="s">
        <v>267</v>
      </c>
      <c r="G31" s="438"/>
      <c r="H31" s="438" t="s">
        <v>268</v>
      </c>
      <c r="I31" s="437">
        <v>8</v>
      </c>
      <c r="J31" s="437">
        <v>218.3</v>
      </c>
      <c r="K31" s="439">
        <v>1746.4</v>
      </c>
    </row>
    <row r="32" spans="1:11" ht="36">
      <c r="A32" s="437" t="s">
        <v>240</v>
      </c>
      <c r="B32" s="438" t="s">
        <v>241</v>
      </c>
      <c r="C32" s="438" t="s">
        <v>95</v>
      </c>
      <c r="D32" s="438">
        <v>5811</v>
      </c>
      <c r="E32" s="437" t="s">
        <v>269</v>
      </c>
      <c r="F32" s="437" t="s">
        <v>267</v>
      </c>
      <c r="G32" s="438"/>
      <c r="H32" s="438" t="s">
        <v>268</v>
      </c>
      <c r="I32" s="437">
        <v>24</v>
      </c>
      <c r="J32" s="437">
        <v>205.12</v>
      </c>
      <c r="K32" s="439">
        <v>4922.88</v>
      </c>
    </row>
    <row r="33" spans="1:11" ht="36">
      <c r="A33" s="437" t="s">
        <v>240</v>
      </c>
      <c r="B33" s="438" t="s">
        <v>241</v>
      </c>
      <c r="C33" s="438" t="s">
        <v>95</v>
      </c>
      <c r="D33" s="438">
        <v>91386</v>
      </c>
      <c r="E33" s="437" t="s">
        <v>270</v>
      </c>
      <c r="F33" s="437" t="s">
        <v>267</v>
      </c>
      <c r="G33" s="438"/>
      <c r="H33" s="438" t="s">
        <v>268</v>
      </c>
      <c r="I33" s="437">
        <v>40</v>
      </c>
      <c r="J33" s="437">
        <v>270.95</v>
      </c>
      <c r="K33" s="439">
        <v>10838</v>
      </c>
    </row>
    <row r="34" spans="1:11" ht="36">
      <c r="A34" s="437" t="s">
        <v>240</v>
      </c>
      <c r="B34" s="438" t="s">
        <v>241</v>
      </c>
      <c r="C34" s="438" t="s">
        <v>95</v>
      </c>
      <c r="D34" s="438">
        <v>5901</v>
      </c>
      <c r="E34" s="437" t="s">
        <v>271</v>
      </c>
      <c r="F34" s="437" t="s">
        <v>267</v>
      </c>
      <c r="G34" s="438"/>
      <c r="H34" s="438" t="s">
        <v>268</v>
      </c>
      <c r="I34" s="437">
        <v>8</v>
      </c>
      <c r="J34" s="437">
        <v>323.93</v>
      </c>
      <c r="K34" s="439">
        <v>2591.44</v>
      </c>
    </row>
    <row r="35" spans="1:11" ht="36">
      <c r="A35" s="437" t="s">
        <v>240</v>
      </c>
      <c r="B35" s="438" t="s">
        <v>241</v>
      </c>
      <c r="C35" s="438" t="s">
        <v>95</v>
      </c>
      <c r="D35" s="438">
        <v>83362</v>
      </c>
      <c r="E35" s="437" t="s">
        <v>272</v>
      </c>
      <c r="F35" s="437" t="s">
        <v>267</v>
      </c>
      <c r="G35" s="438"/>
      <c r="H35" s="438" t="s">
        <v>268</v>
      </c>
      <c r="I35" s="437">
        <v>4</v>
      </c>
      <c r="J35" s="437">
        <v>280.02999999999997</v>
      </c>
      <c r="K35" s="439">
        <v>1120.1199999999999</v>
      </c>
    </row>
    <row r="36" spans="1:11">
      <c r="A36" s="395"/>
      <c r="E36" s="395"/>
      <c r="F36" s="395"/>
      <c r="I36" s="395"/>
      <c r="J36" s="395"/>
      <c r="K36" s="224"/>
    </row>
    <row r="37" spans="1:11" ht="15">
      <c r="A37" s="440" t="s">
        <v>240</v>
      </c>
      <c r="B37" s="441"/>
      <c r="C37" s="441"/>
      <c r="D37" s="441"/>
      <c r="E37" s="440"/>
      <c r="F37" s="442" t="s">
        <v>247</v>
      </c>
      <c r="G37" s="443">
        <v>822.91</v>
      </c>
      <c r="H37" s="444" t="s">
        <v>248</v>
      </c>
      <c r="I37" s="445">
        <v>690.17</v>
      </c>
      <c r="J37" s="442" t="s">
        <v>249</v>
      </c>
      <c r="K37" s="443">
        <v>1513.08</v>
      </c>
    </row>
    <row r="38" spans="1:11" ht="15">
      <c r="A38" s="440" t="s">
        <v>240</v>
      </c>
      <c r="B38" s="441"/>
      <c r="C38" s="441"/>
      <c r="D38" s="441"/>
      <c r="E38" s="440"/>
      <c r="F38" s="442" t="s">
        <v>250</v>
      </c>
      <c r="G38" s="443">
        <v>11009.82</v>
      </c>
      <c r="H38" s="441"/>
      <c r="I38" s="440"/>
      <c r="J38" s="442" t="s">
        <v>251</v>
      </c>
      <c r="K38" s="443">
        <v>47992.78</v>
      </c>
    </row>
    <row r="39" spans="1:11">
      <c r="A39" s="395"/>
      <c r="E39" s="395"/>
      <c r="F39" s="395"/>
      <c r="I39" s="395"/>
      <c r="J39" s="395"/>
      <c r="K39" s="224"/>
    </row>
    <row r="40" spans="1:11">
      <c r="A40" s="447"/>
      <c r="B40" s="448" t="s">
        <v>226</v>
      </c>
      <c r="C40" s="448" t="s">
        <v>227</v>
      </c>
      <c r="D40" s="448" t="s">
        <v>228</v>
      </c>
      <c r="E40" s="449" t="s">
        <v>229</v>
      </c>
      <c r="F40" s="449" t="s">
        <v>230</v>
      </c>
      <c r="G40" s="448"/>
      <c r="H40" s="448" t="s">
        <v>231</v>
      </c>
      <c r="I40" s="449" t="s">
        <v>232</v>
      </c>
      <c r="J40" s="449" t="s">
        <v>233</v>
      </c>
      <c r="K40" s="450" t="s">
        <v>234</v>
      </c>
    </row>
    <row r="41" spans="1:11" ht="15.75">
      <c r="A41" s="451" t="s">
        <v>273</v>
      </c>
      <c r="B41" s="452" t="s">
        <v>236</v>
      </c>
      <c r="C41" s="452" t="s">
        <v>237</v>
      </c>
      <c r="D41" s="502" t="s">
        <v>188</v>
      </c>
      <c r="E41" s="453" t="s">
        <v>189</v>
      </c>
      <c r="F41" s="453" t="s">
        <v>274</v>
      </c>
      <c r="G41" s="452"/>
      <c r="H41" s="452" t="s">
        <v>97</v>
      </c>
      <c r="I41" s="453">
        <v>1</v>
      </c>
      <c r="J41" s="453">
        <v>8.11</v>
      </c>
      <c r="K41" s="454">
        <v>8.11</v>
      </c>
    </row>
    <row r="42" spans="1:11" ht="24" customHeight="1">
      <c r="A42" s="437" t="s">
        <v>240</v>
      </c>
      <c r="B42" s="438" t="s">
        <v>241</v>
      </c>
      <c r="C42" s="438" t="s">
        <v>95</v>
      </c>
      <c r="D42" s="438">
        <v>5839</v>
      </c>
      <c r="E42" s="437" t="s">
        <v>275</v>
      </c>
      <c r="F42" s="437" t="s">
        <v>267</v>
      </c>
      <c r="G42" s="437"/>
      <c r="H42" s="438" t="s">
        <v>268</v>
      </c>
      <c r="I42" s="437">
        <v>2E-3</v>
      </c>
      <c r="J42" s="437">
        <v>9.6999999999999993</v>
      </c>
      <c r="K42" s="439">
        <v>0.01</v>
      </c>
    </row>
    <row r="43" spans="1:11" ht="24" customHeight="1">
      <c r="A43" s="437" t="s">
        <v>240</v>
      </c>
      <c r="B43" s="438" t="s">
        <v>241</v>
      </c>
      <c r="C43" s="438" t="s">
        <v>95</v>
      </c>
      <c r="D43" s="438">
        <v>5841</v>
      </c>
      <c r="E43" s="437" t="s">
        <v>276</v>
      </c>
      <c r="F43" s="437" t="s">
        <v>267</v>
      </c>
      <c r="G43" s="437"/>
      <c r="H43" s="438" t="s">
        <v>277</v>
      </c>
      <c r="I43" s="437">
        <v>4.0000000000000001E-3</v>
      </c>
      <c r="J43" s="437">
        <v>4.88</v>
      </c>
      <c r="K43" s="439">
        <v>0.01</v>
      </c>
    </row>
    <row r="44" spans="1:11" ht="36">
      <c r="A44" s="437" t="s">
        <v>240</v>
      </c>
      <c r="B44" s="438" t="s">
        <v>241</v>
      </c>
      <c r="C44" s="438" t="s">
        <v>95</v>
      </c>
      <c r="D44" s="438">
        <v>83362</v>
      </c>
      <c r="E44" s="437" t="s">
        <v>272</v>
      </c>
      <c r="F44" s="437" t="s">
        <v>267</v>
      </c>
      <c r="G44" s="437"/>
      <c r="H44" s="438" t="s">
        <v>268</v>
      </c>
      <c r="I44" s="437">
        <v>1E-3</v>
      </c>
      <c r="J44" s="437">
        <v>280.02999999999997</v>
      </c>
      <c r="K44" s="439">
        <v>0.28000000000000003</v>
      </c>
    </row>
    <row r="45" spans="1:11">
      <c r="A45" s="437" t="s">
        <v>240</v>
      </c>
      <c r="B45" s="438" t="s">
        <v>241</v>
      </c>
      <c r="C45" s="438" t="s">
        <v>95</v>
      </c>
      <c r="D45" s="438">
        <v>88316</v>
      </c>
      <c r="E45" s="437" t="s">
        <v>278</v>
      </c>
      <c r="F45" s="437" t="s">
        <v>243</v>
      </c>
      <c r="G45" s="437"/>
      <c r="H45" s="438" t="s">
        <v>244</v>
      </c>
      <c r="I45" s="437">
        <v>5.7999999999999996E-3</v>
      </c>
      <c r="J45" s="437">
        <v>19.940000000000001</v>
      </c>
      <c r="K45" s="439">
        <v>0.11</v>
      </c>
    </row>
    <row r="46" spans="1:11" ht="24" customHeight="1">
      <c r="A46" s="437" t="s">
        <v>240</v>
      </c>
      <c r="B46" s="438" t="s">
        <v>241</v>
      </c>
      <c r="C46" s="438" t="s">
        <v>95</v>
      </c>
      <c r="D46" s="438">
        <v>89035</v>
      </c>
      <c r="E46" s="437" t="s">
        <v>279</v>
      </c>
      <c r="F46" s="437" t="s">
        <v>267</v>
      </c>
      <c r="G46" s="437"/>
      <c r="H46" s="438" t="s">
        <v>268</v>
      </c>
      <c r="I46" s="437">
        <v>1.6999999999999999E-3</v>
      </c>
      <c r="J46" s="437">
        <v>128.19999999999999</v>
      </c>
      <c r="K46" s="439">
        <v>0.21</v>
      </c>
    </row>
    <row r="47" spans="1:11" ht="24" customHeight="1">
      <c r="A47" s="437" t="s">
        <v>240</v>
      </c>
      <c r="B47" s="438" t="s">
        <v>241</v>
      </c>
      <c r="C47" s="438" t="s">
        <v>95</v>
      </c>
      <c r="D47" s="438">
        <v>89036</v>
      </c>
      <c r="E47" s="437" t="s">
        <v>280</v>
      </c>
      <c r="F47" s="437" t="s">
        <v>267</v>
      </c>
      <c r="G47" s="437"/>
      <c r="H47" s="438" t="s">
        <v>277</v>
      </c>
      <c r="I47" s="437">
        <v>4.1000000000000003E-3</v>
      </c>
      <c r="J47" s="437">
        <v>41.87</v>
      </c>
      <c r="K47" s="439">
        <v>0.17</v>
      </c>
    </row>
    <row r="48" spans="1:11" ht="36">
      <c r="A48" s="437" t="s">
        <v>240</v>
      </c>
      <c r="B48" s="438" t="s">
        <v>241</v>
      </c>
      <c r="C48" s="438" t="s">
        <v>95</v>
      </c>
      <c r="D48" s="438">
        <v>91486</v>
      </c>
      <c r="E48" s="437" t="s">
        <v>281</v>
      </c>
      <c r="F48" s="437" t="s">
        <v>267</v>
      </c>
      <c r="G48" s="437"/>
      <c r="H48" s="438" t="s">
        <v>277</v>
      </c>
      <c r="I48" s="437">
        <v>4.8999999999999998E-3</v>
      </c>
      <c r="J48" s="437">
        <v>64.45</v>
      </c>
      <c r="K48" s="439">
        <v>0.31</v>
      </c>
    </row>
    <row r="49" spans="1:11">
      <c r="A49" s="437" t="s">
        <v>240</v>
      </c>
      <c r="B49" s="438" t="s">
        <v>254</v>
      </c>
      <c r="C49" s="438" t="s">
        <v>237</v>
      </c>
      <c r="D49" s="438" t="s">
        <v>282</v>
      </c>
      <c r="E49" s="437" t="s">
        <v>283</v>
      </c>
      <c r="F49" s="437" t="s">
        <v>284</v>
      </c>
      <c r="G49" s="437"/>
      <c r="H49" s="438" t="s">
        <v>285</v>
      </c>
      <c r="I49" s="437">
        <v>1.2</v>
      </c>
      <c r="J49" s="437">
        <v>5.843</v>
      </c>
      <c r="K49" s="439">
        <v>7.01</v>
      </c>
    </row>
    <row r="50" spans="1:11" ht="24" customHeight="1">
      <c r="A50" s="395"/>
      <c r="E50" s="395"/>
      <c r="F50" s="395"/>
      <c r="I50" s="395"/>
      <c r="J50" s="395"/>
      <c r="K50" s="224"/>
    </row>
    <row r="51" spans="1:11" ht="24" customHeight="1">
      <c r="A51" s="440" t="s">
        <v>240</v>
      </c>
      <c r="B51" s="441"/>
      <c r="C51" s="441"/>
      <c r="D51" s="441"/>
      <c r="E51" s="440"/>
      <c r="F51" s="442" t="s">
        <v>247</v>
      </c>
      <c r="G51" s="443">
        <v>0.15</v>
      </c>
      <c r="H51" s="444" t="s">
        <v>248</v>
      </c>
      <c r="I51" s="445">
        <v>0.12</v>
      </c>
      <c r="J51" s="442" t="s">
        <v>249</v>
      </c>
      <c r="K51" s="443">
        <v>0.27</v>
      </c>
    </row>
    <row r="52" spans="1:11" ht="15">
      <c r="A52" s="440" t="s">
        <v>240</v>
      </c>
      <c r="B52" s="441"/>
      <c r="C52" s="441"/>
      <c r="D52" s="441"/>
      <c r="E52" s="440"/>
      <c r="F52" s="442" t="s">
        <v>250</v>
      </c>
      <c r="G52" s="443">
        <v>2.41</v>
      </c>
      <c r="H52" s="441"/>
      <c r="I52" s="440"/>
      <c r="J52" s="442" t="s">
        <v>251</v>
      </c>
      <c r="K52" s="443">
        <v>10.52</v>
      </c>
    </row>
    <row r="53" spans="1:11" ht="15">
      <c r="A53" s="440"/>
      <c r="B53" s="441"/>
      <c r="C53" s="441"/>
      <c r="D53" s="441"/>
      <c r="E53" s="440"/>
      <c r="F53" s="442"/>
      <c r="G53" s="443"/>
      <c r="H53" s="441"/>
      <c r="I53" s="440"/>
      <c r="J53" s="442"/>
      <c r="K53" s="443"/>
    </row>
    <row r="54" spans="1:11">
      <c r="A54" s="447"/>
      <c r="B54" s="448" t="s">
        <v>226</v>
      </c>
      <c r="C54" s="448" t="s">
        <v>227</v>
      </c>
      <c r="D54" s="448" t="s">
        <v>228</v>
      </c>
      <c r="E54" s="449" t="s">
        <v>229</v>
      </c>
      <c r="F54" s="449" t="s">
        <v>230</v>
      </c>
      <c r="G54" s="448"/>
      <c r="H54" s="448" t="s">
        <v>231</v>
      </c>
      <c r="I54" s="449" t="s">
        <v>232</v>
      </c>
      <c r="J54" s="449" t="s">
        <v>233</v>
      </c>
      <c r="K54" s="450" t="s">
        <v>234</v>
      </c>
    </row>
    <row r="55" spans="1:11" ht="31.5">
      <c r="A55" s="451" t="s">
        <v>286</v>
      </c>
      <c r="B55" s="452" t="s">
        <v>236</v>
      </c>
      <c r="C55" s="452" t="s">
        <v>95</v>
      </c>
      <c r="D55" s="452">
        <v>96402</v>
      </c>
      <c r="E55" s="453" t="s">
        <v>191</v>
      </c>
      <c r="F55" s="453" t="s">
        <v>274</v>
      </c>
      <c r="G55" s="452"/>
      <c r="H55" s="452" t="s">
        <v>97</v>
      </c>
      <c r="I55" s="453">
        <v>1</v>
      </c>
      <c r="J55" s="453">
        <v>3.83</v>
      </c>
      <c r="K55" s="454">
        <v>3.83</v>
      </c>
    </row>
    <row r="56" spans="1:11" ht="36.75">
      <c r="A56" s="440" t="s">
        <v>240</v>
      </c>
      <c r="B56" s="438" t="s">
        <v>241</v>
      </c>
      <c r="C56" s="438" t="s">
        <v>95</v>
      </c>
      <c r="D56" s="438">
        <v>5839</v>
      </c>
      <c r="E56" s="437" t="s">
        <v>275</v>
      </c>
      <c r="F56" s="437" t="s">
        <v>267</v>
      </c>
      <c r="G56" s="437"/>
      <c r="H56" s="438" t="s">
        <v>268</v>
      </c>
      <c r="I56" s="437">
        <v>2E-3</v>
      </c>
      <c r="J56" s="437">
        <v>9.6999999999999993</v>
      </c>
      <c r="K56" s="439">
        <v>0.01</v>
      </c>
    </row>
    <row r="57" spans="1:11" ht="36.75">
      <c r="A57" s="440" t="s">
        <v>240</v>
      </c>
      <c r="B57" s="438" t="s">
        <v>241</v>
      </c>
      <c r="C57" s="438" t="s">
        <v>95</v>
      </c>
      <c r="D57" s="438">
        <v>5841</v>
      </c>
      <c r="E57" s="437" t="s">
        <v>276</v>
      </c>
      <c r="F57" s="437" t="s">
        <v>267</v>
      </c>
      <c r="G57" s="437"/>
      <c r="H57" s="438" t="s">
        <v>277</v>
      </c>
      <c r="I57" s="437">
        <v>4.0000000000000001E-3</v>
      </c>
      <c r="J57" s="437">
        <v>4.88</v>
      </c>
      <c r="K57" s="439">
        <v>0.01</v>
      </c>
    </row>
    <row r="58" spans="1:11" ht="36.75">
      <c r="A58" s="440" t="s">
        <v>240</v>
      </c>
      <c r="B58" s="438" t="s">
        <v>241</v>
      </c>
      <c r="C58" s="438" t="s">
        <v>95</v>
      </c>
      <c r="D58" s="438">
        <v>83362</v>
      </c>
      <c r="E58" s="437" t="s">
        <v>272</v>
      </c>
      <c r="F58" s="437" t="s">
        <v>267</v>
      </c>
      <c r="G58" s="437"/>
      <c r="H58" s="438" t="s">
        <v>268</v>
      </c>
      <c r="I58" s="437">
        <v>4.0000000000000002E-4</v>
      </c>
      <c r="J58" s="437">
        <v>280.02999999999997</v>
      </c>
      <c r="K58" s="439">
        <v>0.11</v>
      </c>
    </row>
    <row r="59" spans="1:11" ht="15">
      <c r="A59" s="440" t="s">
        <v>240</v>
      </c>
      <c r="B59" s="438" t="s">
        <v>241</v>
      </c>
      <c r="C59" s="438" t="s">
        <v>95</v>
      </c>
      <c r="D59" s="438">
        <v>88316</v>
      </c>
      <c r="E59" s="437" t="s">
        <v>278</v>
      </c>
      <c r="F59" s="437" t="s">
        <v>243</v>
      </c>
      <c r="G59" s="437"/>
      <c r="H59" s="438" t="s">
        <v>244</v>
      </c>
      <c r="I59" s="437">
        <v>5.4999999999999997E-3</v>
      </c>
      <c r="J59" s="437">
        <v>19.940000000000001</v>
      </c>
      <c r="K59" s="439">
        <v>0.1</v>
      </c>
    </row>
    <row r="60" spans="1:11" ht="36.75">
      <c r="A60" s="440" t="s">
        <v>240</v>
      </c>
      <c r="B60" s="438" t="s">
        <v>241</v>
      </c>
      <c r="C60" s="438" t="s">
        <v>95</v>
      </c>
      <c r="D60" s="438">
        <v>89035</v>
      </c>
      <c r="E60" s="437" t="s">
        <v>279</v>
      </c>
      <c r="F60" s="437" t="s">
        <v>267</v>
      </c>
      <c r="G60" s="437"/>
      <c r="H60" s="438" t="s">
        <v>268</v>
      </c>
      <c r="I60" s="437">
        <v>1.6999999999999999E-3</v>
      </c>
      <c r="J60" s="437">
        <v>128.19999999999999</v>
      </c>
      <c r="K60" s="439">
        <v>0.21</v>
      </c>
    </row>
    <row r="61" spans="1:11" ht="36.75">
      <c r="A61" s="440" t="s">
        <v>240</v>
      </c>
      <c r="B61" s="438" t="s">
        <v>241</v>
      </c>
      <c r="C61" s="438" t="s">
        <v>95</v>
      </c>
      <c r="D61" s="438">
        <v>89036</v>
      </c>
      <c r="E61" s="437" t="s">
        <v>280</v>
      </c>
      <c r="F61" s="437" t="s">
        <v>267</v>
      </c>
      <c r="G61" s="437"/>
      <c r="H61" s="438" t="s">
        <v>277</v>
      </c>
      <c r="I61" s="437">
        <v>3.8E-3</v>
      </c>
      <c r="J61" s="437">
        <v>41.87</v>
      </c>
      <c r="K61" s="439">
        <v>0.15</v>
      </c>
    </row>
    <row r="62" spans="1:11" ht="36.75">
      <c r="A62" s="440" t="s">
        <v>240</v>
      </c>
      <c r="B62" s="438" t="s">
        <v>241</v>
      </c>
      <c r="C62" s="438" t="s">
        <v>95</v>
      </c>
      <c r="D62" s="438">
        <v>91486</v>
      </c>
      <c r="E62" s="437" t="s">
        <v>281</v>
      </c>
      <c r="F62" s="437" t="s">
        <v>267</v>
      </c>
      <c r="G62" s="437"/>
      <c r="H62" s="438" t="s">
        <v>277</v>
      </c>
      <c r="I62" s="437">
        <v>5.1000000000000004E-3</v>
      </c>
      <c r="J62" s="437">
        <v>64.45</v>
      </c>
      <c r="K62" s="439">
        <v>0.32</v>
      </c>
    </row>
    <row r="63" spans="1:11" ht="15">
      <c r="A63" s="440" t="s">
        <v>240</v>
      </c>
      <c r="B63" s="438" t="s">
        <v>254</v>
      </c>
      <c r="C63" s="438" t="s">
        <v>237</v>
      </c>
      <c r="D63" s="438">
        <v>41903</v>
      </c>
      <c r="E63" s="437" t="s">
        <v>287</v>
      </c>
      <c r="F63" s="437" t="s">
        <v>284</v>
      </c>
      <c r="G63" s="437"/>
      <c r="H63" s="438" t="s">
        <v>285</v>
      </c>
      <c r="I63" s="437">
        <v>0.45</v>
      </c>
      <c r="J63" s="437">
        <v>6.5110000000000001</v>
      </c>
      <c r="K63" s="439">
        <v>2.92</v>
      </c>
    </row>
    <row r="64" spans="1:11" ht="15">
      <c r="A64" s="440"/>
      <c r="B64" s="441"/>
      <c r="C64" s="441"/>
      <c r="D64" s="441"/>
      <c r="E64" s="440"/>
      <c r="F64" s="442"/>
      <c r="G64" s="443"/>
      <c r="H64" s="441"/>
      <c r="I64" s="440"/>
      <c r="J64" s="442"/>
      <c r="K64" s="443"/>
    </row>
    <row r="65" spans="1:11" ht="15">
      <c r="A65" s="440" t="s">
        <v>240</v>
      </c>
      <c r="B65" s="441"/>
      <c r="C65" s="441"/>
      <c r="D65" s="441"/>
      <c r="E65" s="440"/>
      <c r="F65" s="442" t="s">
        <v>247</v>
      </c>
      <c r="G65" s="443">
        <v>0.13</v>
      </c>
      <c r="H65" s="441" t="s">
        <v>248</v>
      </c>
      <c r="I65" s="440">
        <v>0.11</v>
      </c>
      <c r="J65" s="442" t="s">
        <v>249</v>
      </c>
      <c r="K65" s="443">
        <v>0.24</v>
      </c>
    </row>
    <row r="66" spans="1:11" ht="15">
      <c r="A66" s="440" t="s">
        <v>240</v>
      </c>
      <c r="B66" s="441"/>
      <c r="C66" s="441"/>
      <c r="D66" s="441"/>
      <c r="E66" s="440"/>
      <c r="F66" s="442" t="s">
        <v>250</v>
      </c>
      <c r="G66" s="443">
        <v>1.1399999999999999</v>
      </c>
      <c r="H66" s="441"/>
      <c r="I66" s="440"/>
      <c r="J66" s="442" t="s">
        <v>251</v>
      </c>
      <c r="K66" s="443">
        <v>4.97</v>
      </c>
    </row>
    <row r="67" spans="1:11" ht="15">
      <c r="A67" s="440"/>
      <c r="B67" s="441"/>
      <c r="C67" s="441"/>
      <c r="D67" s="441"/>
      <c r="E67" s="440"/>
      <c r="F67" s="442"/>
      <c r="G67" s="443"/>
      <c r="H67" s="441"/>
      <c r="I67" s="440"/>
      <c r="J67" s="442"/>
      <c r="K67" s="443"/>
    </row>
    <row r="68" spans="1:11">
      <c r="A68" s="395"/>
      <c r="E68" s="395"/>
      <c r="F68" s="395"/>
      <c r="I68" s="395"/>
      <c r="J68" s="395"/>
      <c r="K68" s="224"/>
    </row>
    <row r="69" spans="1:11">
      <c r="A69" s="395"/>
      <c r="E69" s="395"/>
      <c r="F69" s="395"/>
      <c r="I69" s="395"/>
      <c r="J69" s="395"/>
      <c r="K69" s="224"/>
    </row>
    <row r="70" spans="1:11">
      <c r="A70" s="395"/>
      <c r="E70" s="395"/>
      <c r="F70" s="395"/>
      <c r="I70" s="395"/>
      <c r="J70" s="395"/>
      <c r="K70" s="224"/>
    </row>
    <row r="71" spans="1:11" ht="15.75" customHeight="1">
      <c r="A71" s="395"/>
      <c r="E71" s="395"/>
      <c r="F71" s="395"/>
      <c r="I71" s="570"/>
      <c r="J71" s="570"/>
      <c r="K71" s="446"/>
    </row>
    <row r="72" spans="1:11" ht="15.75" customHeight="1">
      <c r="A72" s="395"/>
      <c r="E72" s="395"/>
      <c r="F72" s="395"/>
      <c r="I72" s="570"/>
      <c r="J72" s="570"/>
      <c r="K72" s="446"/>
    </row>
    <row r="73" spans="1:11">
      <c r="A73" s="395"/>
      <c r="E73" s="395"/>
      <c r="F73" s="395"/>
      <c r="I73" s="395"/>
      <c r="J73" s="395"/>
      <c r="K73" s="224"/>
    </row>
    <row r="74" spans="1:11">
      <c r="A74" s="395"/>
      <c r="E74" s="94" t="s">
        <v>219</v>
      </c>
      <c r="F74" s="395"/>
      <c r="I74" s="395"/>
      <c r="J74" s="395"/>
      <c r="K74" s="224"/>
    </row>
    <row r="75" spans="1:11">
      <c r="E75" s="94" t="s">
        <v>220</v>
      </c>
    </row>
    <row r="76" spans="1:11">
      <c r="E76" s="94" t="s">
        <v>221</v>
      </c>
    </row>
  </sheetData>
  <autoFilter ref="A9:K78" xr:uid="{36865520-A8AC-4F85-B553-5EA56E5C352C}"/>
  <mergeCells count="4">
    <mergeCell ref="E3:K3"/>
    <mergeCell ref="I71:J71"/>
    <mergeCell ref="I72:J72"/>
    <mergeCell ref="A3:C3"/>
  </mergeCells>
  <printOptions horizontalCentered="1" verticalCentered="1"/>
  <pageMargins left="0.31496062992125984" right="0.31496062992125984" top="0.39370078740157483" bottom="0.39370078740157483" header="0.31496062992125984" footer="0.31496062992125984"/>
  <pageSetup paperSize="9" scale="7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F3559-CBBD-4E74-83AB-2C50829FE1DE}">
  <dimension ref="A13:L503"/>
  <sheetViews>
    <sheetView view="pageBreakPreview" topLeftCell="A39" zoomScale="90" zoomScaleNormal="100" zoomScaleSheetLayoutView="90" workbookViewId="0">
      <selection activeCell="B61" sqref="B61"/>
    </sheetView>
  </sheetViews>
  <sheetFormatPr defaultColWidth="7" defaultRowHeight="12.75"/>
  <cols>
    <col min="1" max="1" width="7" customWidth="1"/>
    <col min="2" max="2" width="36.7109375" customWidth="1"/>
    <col min="3" max="3" width="10.28515625" bestFit="1" customWidth="1"/>
    <col min="4" max="4" width="13" customWidth="1"/>
    <col min="5" max="5" width="11.85546875" customWidth="1"/>
    <col min="6" max="6" width="16.5703125" customWidth="1"/>
    <col min="7" max="7" width="9.7109375" customWidth="1"/>
    <col min="8" max="255" width="11.42578125" customWidth="1"/>
  </cols>
  <sheetData>
    <row r="13" spans="1:7">
      <c r="C13" s="94" t="s">
        <v>288</v>
      </c>
    </row>
    <row r="14" spans="1:7">
      <c r="C14" s="94"/>
    </row>
    <row r="15" spans="1:7">
      <c r="A15" s="572" t="s">
        <v>289</v>
      </c>
      <c r="B15" s="573"/>
      <c r="C15" s="573"/>
      <c r="D15" s="573"/>
      <c r="E15" s="573"/>
      <c r="F15" s="573"/>
      <c r="G15" s="573"/>
    </row>
    <row r="17" spans="1:7">
      <c r="A17" s="17" t="s">
        <v>290</v>
      </c>
    </row>
    <row r="19" spans="1:7">
      <c r="A19" s="17" t="s">
        <v>291</v>
      </c>
    </row>
    <row r="20" spans="1:7">
      <c r="A20" s="17"/>
    </row>
    <row r="21" spans="1:7">
      <c r="A21" s="17" t="s">
        <v>292</v>
      </c>
    </row>
    <row r="22" spans="1:7">
      <c r="A22" s="17"/>
    </row>
    <row r="23" spans="1:7">
      <c r="A23" s="45"/>
      <c r="B23" s="45" t="s">
        <v>293</v>
      </c>
      <c r="C23" s="45" t="s">
        <v>294</v>
      </c>
      <c r="D23" s="45" t="s">
        <v>295</v>
      </c>
      <c r="E23" s="45" t="s">
        <v>296</v>
      </c>
      <c r="F23" s="29" t="s">
        <v>297</v>
      </c>
      <c r="G23" s="29" t="s">
        <v>298</v>
      </c>
    </row>
    <row r="24" spans="1:7">
      <c r="A24" s="90" t="s">
        <v>299</v>
      </c>
      <c r="B24" s="90" t="s">
        <v>300</v>
      </c>
      <c r="C24" s="90" t="s">
        <v>29</v>
      </c>
      <c r="D24" s="90" t="s">
        <v>301</v>
      </c>
      <c r="E24" s="90" t="s">
        <v>302</v>
      </c>
      <c r="F24" s="90" t="s">
        <v>29</v>
      </c>
      <c r="G24" s="90" t="s">
        <v>303</v>
      </c>
    </row>
    <row r="25" spans="1:7">
      <c r="A25" s="46"/>
      <c r="B25" s="28"/>
      <c r="C25" s="28"/>
      <c r="D25" s="28" t="s">
        <v>29</v>
      </c>
      <c r="E25" s="28"/>
      <c r="F25" s="28"/>
      <c r="G25" s="28"/>
    </row>
    <row r="26" spans="1:7" ht="24.75" customHeight="1">
      <c r="A26" s="47"/>
      <c r="B26" s="91" t="s">
        <v>304</v>
      </c>
      <c r="C26" s="93"/>
      <c r="D26" s="93"/>
      <c r="E26" s="93"/>
      <c r="F26" s="93"/>
      <c r="G26" s="93"/>
    </row>
    <row r="27" spans="1:7" ht="25.5">
      <c r="A27" s="47">
        <v>17</v>
      </c>
      <c r="B27" s="26" t="s">
        <v>305</v>
      </c>
      <c r="C27" s="32">
        <v>450</v>
      </c>
      <c r="D27" s="32">
        <v>6</v>
      </c>
      <c r="E27" s="32">
        <f>C27*D27</f>
        <v>2700</v>
      </c>
      <c r="F27" s="32">
        <v>0.03</v>
      </c>
      <c r="G27" s="32">
        <f t="shared" ref="G27:G37" si="0">E27*F27</f>
        <v>81</v>
      </c>
    </row>
    <row r="28" spans="1:7" ht="25.5">
      <c r="A28" s="47">
        <v>18</v>
      </c>
      <c r="B28" s="26" t="s">
        <v>306</v>
      </c>
      <c r="C28" s="32">
        <v>64</v>
      </c>
      <c r="D28" s="32">
        <v>6</v>
      </c>
      <c r="E28" s="32">
        <f t="shared" ref="E28:E37" si="1">C28*D28</f>
        <v>384</v>
      </c>
      <c r="F28" s="32">
        <v>0.03</v>
      </c>
      <c r="G28" s="32">
        <f t="shared" si="0"/>
        <v>11.52</v>
      </c>
    </row>
    <row r="29" spans="1:7" ht="25.5">
      <c r="A29" s="47">
        <v>19</v>
      </c>
      <c r="B29" s="26" t="s">
        <v>307</v>
      </c>
      <c r="C29" s="32">
        <v>265</v>
      </c>
      <c r="D29" s="32">
        <v>6</v>
      </c>
      <c r="E29" s="32">
        <f t="shared" si="1"/>
        <v>1590</v>
      </c>
      <c r="F29" s="32">
        <v>0.03</v>
      </c>
      <c r="G29" s="32">
        <f t="shared" si="0"/>
        <v>47.699999999999996</v>
      </c>
    </row>
    <row r="30" spans="1:7" ht="25.5">
      <c r="A30" s="47">
        <v>20</v>
      </c>
      <c r="B30" s="26" t="s">
        <v>308</v>
      </c>
      <c r="C30" s="32">
        <v>215</v>
      </c>
      <c r="D30" s="32">
        <v>6</v>
      </c>
      <c r="E30" s="32">
        <f t="shared" si="1"/>
        <v>1290</v>
      </c>
      <c r="F30" s="32">
        <v>0.03</v>
      </c>
      <c r="G30" s="32">
        <f t="shared" si="0"/>
        <v>38.699999999999996</v>
      </c>
    </row>
    <row r="31" spans="1:7" ht="25.5">
      <c r="A31" s="47">
        <v>21</v>
      </c>
      <c r="B31" s="26" t="s">
        <v>309</v>
      </c>
      <c r="C31" s="32">
        <v>168</v>
      </c>
      <c r="D31" s="32">
        <v>6</v>
      </c>
      <c r="E31" s="32">
        <f t="shared" si="1"/>
        <v>1008</v>
      </c>
      <c r="F31" s="32">
        <v>0.03</v>
      </c>
      <c r="G31" s="32">
        <f t="shared" si="0"/>
        <v>30.24</v>
      </c>
    </row>
    <row r="32" spans="1:7" ht="25.5">
      <c r="A32" s="47">
        <v>22</v>
      </c>
      <c r="B32" s="26" t="s">
        <v>310</v>
      </c>
      <c r="C32" s="32">
        <v>70</v>
      </c>
      <c r="D32" s="32">
        <v>6</v>
      </c>
      <c r="E32" s="32">
        <f t="shared" si="1"/>
        <v>420</v>
      </c>
      <c r="F32" s="32">
        <v>0.03</v>
      </c>
      <c r="G32" s="32">
        <f t="shared" si="0"/>
        <v>12.6</v>
      </c>
    </row>
    <row r="33" spans="1:10" ht="25.5">
      <c r="A33" s="47">
        <v>23</v>
      </c>
      <c r="B33" s="26" t="s">
        <v>311</v>
      </c>
      <c r="C33" s="32"/>
      <c r="D33" s="32">
        <v>5</v>
      </c>
      <c r="E33" s="32">
        <f t="shared" si="1"/>
        <v>0</v>
      </c>
      <c r="F33" s="32">
        <v>0.03</v>
      </c>
      <c r="G33" s="32">
        <f t="shared" si="0"/>
        <v>0</v>
      </c>
    </row>
    <row r="34" spans="1:10" ht="25.5">
      <c r="A34" s="47">
        <v>24</v>
      </c>
      <c r="B34" s="26" t="s">
        <v>312</v>
      </c>
      <c r="C34" s="216"/>
      <c r="D34" s="32">
        <v>6</v>
      </c>
      <c r="E34" s="32">
        <f t="shared" si="1"/>
        <v>0</v>
      </c>
      <c r="F34" s="32">
        <v>0.03</v>
      </c>
      <c r="G34" s="32">
        <f t="shared" si="0"/>
        <v>0</v>
      </c>
    </row>
    <row r="35" spans="1:10" ht="25.5">
      <c r="A35" s="47">
        <v>25</v>
      </c>
      <c r="B35" s="26" t="s">
        <v>313</v>
      </c>
      <c r="C35" s="216"/>
      <c r="D35" s="32">
        <v>6</v>
      </c>
      <c r="E35" s="32">
        <f t="shared" si="1"/>
        <v>0</v>
      </c>
      <c r="F35" s="32">
        <v>0.03</v>
      </c>
      <c r="G35" s="32">
        <f>E35*F35</f>
        <v>0</v>
      </c>
    </row>
    <row r="36" spans="1:10" ht="25.5">
      <c r="A36" s="47">
        <v>26</v>
      </c>
      <c r="B36" s="26" t="s">
        <v>314</v>
      </c>
      <c r="C36" s="216"/>
      <c r="D36" s="32">
        <v>6</v>
      </c>
      <c r="E36" s="32">
        <f t="shared" si="1"/>
        <v>0</v>
      </c>
      <c r="F36" s="32">
        <v>0.03</v>
      </c>
      <c r="G36" s="32">
        <f t="shared" si="0"/>
        <v>0</v>
      </c>
    </row>
    <row r="37" spans="1:10" ht="25.5">
      <c r="A37" s="47">
        <v>27</v>
      </c>
      <c r="B37" s="26" t="s">
        <v>315</v>
      </c>
      <c r="C37" s="32">
        <v>88</v>
      </c>
      <c r="D37" s="32">
        <v>6</v>
      </c>
      <c r="E37" s="32">
        <f t="shared" si="1"/>
        <v>528</v>
      </c>
      <c r="F37" s="32">
        <v>0.03</v>
      </c>
      <c r="G37" s="32">
        <f t="shared" si="0"/>
        <v>15.84</v>
      </c>
    </row>
    <row r="38" spans="1:10">
      <c r="A38" s="217"/>
      <c r="B38" s="218" t="s">
        <v>41</v>
      </c>
      <c r="C38" s="219">
        <f>SUM(C26:C37)</f>
        <v>1320</v>
      </c>
      <c r="D38" s="219">
        <f>SUM(D26:D37)/11</f>
        <v>5.9090909090909092</v>
      </c>
      <c r="E38" s="219">
        <f>SUM(E26:E37)</f>
        <v>7920</v>
      </c>
      <c r="F38" s="219">
        <v>0.03</v>
      </c>
      <c r="G38" s="220">
        <f>SUM(G26:G37)</f>
        <v>237.6</v>
      </c>
    </row>
    <row r="39" spans="1:10">
      <c r="A39" s="34"/>
      <c r="B39" s="18"/>
      <c r="C39" s="33"/>
      <c r="D39" s="33"/>
      <c r="E39" s="33"/>
      <c r="F39" s="33"/>
      <c r="G39" s="221"/>
      <c r="J39" s="32">
        <v>1793</v>
      </c>
    </row>
    <row r="40" spans="1:10">
      <c r="A40" s="18"/>
      <c r="J40" s="232">
        <f>J39-C38</f>
        <v>473</v>
      </c>
    </row>
    <row r="41" spans="1:10">
      <c r="A41" s="18" t="s">
        <v>316</v>
      </c>
      <c r="B41" t="s">
        <v>65</v>
      </c>
    </row>
    <row r="42" spans="1:10">
      <c r="A42" s="18"/>
      <c r="B42" s="18" t="s">
        <v>317</v>
      </c>
      <c r="F42" s="222">
        <f>2*3</f>
        <v>6</v>
      </c>
      <c r="G42" s="94" t="s">
        <v>32</v>
      </c>
    </row>
    <row r="43" spans="1:10">
      <c r="A43" s="18"/>
      <c r="F43" s="223"/>
      <c r="G43" s="6"/>
    </row>
    <row r="44" spans="1:10">
      <c r="A44" s="18"/>
      <c r="B44" s="18" t="s">
        <v>318</v>
      </c>
      <c r="F44" s="223"/>
      <c r="G44" s="6"/>
    </row>
    <row r="45" spans="1:10">
      <c r="A45" s="18"/>
      <c r="B45" s="18" t="s">
        <v>319</v>
      </c>
      <c r="C45" s="18"/>
      <c r="F45" s="222">
        <v>0</v>
      </c>
      <c r="G45" s="94" t="s">
        <v>32</v>
      </c>
    </row>
    <row r="46" spans="1:10">
      <c r="A46" s="18"/>
      <c r="F46" s="223"/>
      <c r="G46" s="6"/>
    </row>
    <row r="47" spans="1:10">
      <c r="A47" s="18"/>
      <c r="B47" s="18" t="s">
        <v>320</v>
      </c>
      <c r="F47" s="7"/>
      <c r="G47" s="6"/>
    </row>
    <row r="48" spans="1:10">
      <c r="A48" s="18"/>
      <c r="B48" s="18" t="s">
        <v>321</v>
      </c>
      <c r="C48" s="224">
        <f>C38</f>
        <v>1320</v>
      </c>
      <c r="D48" s="18" t="s">
        <v>24</v>
      </c>
      <c r="F48" s="7">
        <f>C48</f>
        <v>1320</v>
      </c>
      <c r="G48" s="6" t="s">
        <v>24</v>
      </c>
    </row>
    <row r="49" spans="1:12">
      <c r="A49" s="18"/>
      <c r="B49" s="18" t="s">
        <v>322</v>
      </c>
      <c r="C49" s="225" t="s">
        <v>323</v>
      </c>
      <c r="F49" s="7">
        <f>(F48/20)*7</f>
        <v>462</v>
      </c>
      <c r="G49" s="6" t="s">
        <v>24</v>
      </c>
    </row>
    <row r="50" spans="1:12">
      <c r="A50" s="18"/>
      <c r="F50" s="226">
        <f>SUM(F48:F49)</f>
        <v>1782</v>
      </c>
      <c r="G50" s="94" t="s">
        <v>24</v>
      </c>
      <c r="J50" t="e">
        <f>#REF!</f>
        <v>#REF!</v>
      </c>
      <c r="K50" s="230" t="e">
        <f>J50-F50</f>
        <v>#REF!</v>
      </c>
      <c r="L50" s="230" t="e">
        <f>J50-K50</f>
        <v>#REF!</v>
      </c>
    </row>
    <row r="51" spans="1:12">
      <c r="A51" s="18"/>
      <c r="F51" s="226"/>
      <c r="G51" s="94"/>
    </row>
    <row r="52" spans="1:12">
      <c r="A52" s="18"/>
      <c r="G52" s="6"/>
    </row>
    <row r="53" spans="1:12">
      <c r="A53" s="18" t="s">
        <v>324</v>
      </c>
      <c r="B53" t="s">
        <v>74</v>
      </c>
      <c r="G53" s="6"/>
    </row>
    <row r="54" spans="1:12">
      <c r="A54" s="18"/>
      <c r="B54" s="18" t="s">
        <v>325</v>
      </c>
      <c r="C54" s="223"/>
      <c r="F54" s="226">
        <f>F48*2</f>
        <v>2640</v>
      </c>
      <c r="G54" s="94" t="s">
        <v>24</v>
      </c>
    </row>
    <row r="55" spans="1:12">
      <c r="A55" s="18"/>
      <c r="B55" s="18" t="s">
        <v>326</v>
      </c>
      <c r="C55" s="227">
        <v>0</v>
      </c>
      <c r="D55" s="18" t="s">
        <v>327</v>
      </c>
      <c r="F55" s="226">
        <f>C55*1*21</f>
        <v>0</v>
      </c>
      <c r="G55" s="94" t="s">
        <v>24</v>
      </c>
    </row>
    <row r="56" spans="1:12">
      <c r="A56" s="18"/>
      <c r="B56" s="18" t="s">
        <v>328</v>
      </c>
      <c r="C56" s="223"/>
      <c r="F56" s="226"/>
      <c r="G56" s="94"/>
    </row>
    <row r="57" spans="1:12">
      <c r="A57" s="18"/>
      <c r="B57" s="18"/>
      <c r="C57" s="223"/>
      <c r="F57" s="226"/>
      <c r="G57" s="94"/>
    </row>
    <row r="58" spans="1:12">
      <c r="A58" s="18" t="s">
        <v>329</v>
      </c>
      <c r="B58" s="18" t="s">
        <v>330</v>
      </c>
      <c r="G58" s="6"/>
    </row>
    <row r="59" spans="1:12">
      <c r="A59" s="18"/>
      <c r="B59" s="18" t="s">
        <v>331</v>
      </c>
      <c r="C59" s="227">
        <v>1.2</v>
      </c>
      <c r="D59" s="18" t="s">
        <v>24</v>
      </c>
      <c r="F59" s="228">
        <f>C59*C60</f>
        <v>3168</v>
      </c>
      <c r="G59" s="34" t="s">
        <v>32</v>
      </c>
    </row>
    <row r="60" spans="1:12">
      <c r="A60" s="18"/>
      <c r="B60" s="18" t="s">
        <v>332</v>
      </c>
      <c r="C60" s="227">
        <f>C48*2</f>
        <v>2640</v>
      </c>
      <c r="D60" s="18" t="s">
        <v>24</v>
      </c>
      <c r="F60" s="226"/>
      <c r="G60" s="94"/>
    </row>
    <row r="61" spans="1:12">
      <c r="A61" s="18"/>
      <c r="B61" s="18" t="s">
        <v>328</v>
      </c>
      <c r="C61" s="223"/>
      <c r="F61" s="226"/>
      <c r="G61" s="94"/>
    </row>
    <row r="62" spans="1:12">
      <c r="A62" s="18"/>
      <c r="B62" s="18"/>
      <c r="C62" s="223"/>
      <c r="F62" s="226"/>
      <c r="G62" s="94"/>
    </row>
    <row r="63" spans="1:12">
      <c r="A63" s="18" t="s">
        <v>333</v>
      </c>
      <c r="B63" t="s">
        <v>334</v>
      </c>
      <c r="G63" s="6"/>
    </row>
    <row r="64" spans="1:12">
      <c r="B64" s="27" t="s">
        <v>335</v>
      </c>
      <c r="F64" s="229">
        <f>((C65*C66*C67)*C68)+(C65*C66*C67)</f>
        <v>1404</v>
      </c>
      <c r="G64" s="94" t="s">
        <v>336</v>
      </c>
    </row>
    <row r="65" spans="1:8">
      <c r="B65" s="18" t="s">
        <v>337</v>
      </c>
      <c r="C65" s="204">
        <f>D38</f>
        <v>5.9090909090909092</v>
      </c>
      <c r="D65" s="18" t="s">
        <v>24</v>
      </c>
      <c r="F65" s="229"/>
      <c r="G65" s="94"/>
      <c r="H65" s="18"/>
    </row>
    <row r="66" spans="1:8">
      <c r="A66" s="27"/>
      <c r="B66" s="18" t="s">
        <v>338</v>
      </c>
      <c r="C66" s="230">
        <f>C48</f>
        <v>1320</v>
      </c>
      <c r="D66" s="18" t="s">
        <v>24</v>
      </c>
      <c r="F66" s="229"/>
      <c r="G66" s="94"/>
    </row>
    <row r="67" spans="1:8">
      <c r="A67" s="27"/>
      <c r="B67" s="18" t="s">
        <v>339</v>
      </c>
      <c r="C67">
        <v>0.15</v>
      </c>
      <c r="D67" s="18" t="s">
        <v>24</v>
      </c>
      <c r="F67" s="229"/>
      <c r="G67" s="94"/>
    </row>
    <row r="68" spans="1:8">
      <c r="A68" s="27"/>
      <c r="B68" s="18" t="s">
        <v>340</v>
      </c>
      <c r="C68" s="231">
        <v>0.2</v>
      </c>
      <c r="D68" s="18" t="s">
        <v>24</v>
      </c>
      <c r="F68" s="229"/>
      <c r="G68" s="94"/>
    </row>
    <row r="69" spans="1:8">
      <c r="A69" s="27"/>
      <c r="B69" s="18" t="s">
        <v>328</v>
      </c>
      <c r="F69" s="229"/>
      <c r="G69" s="94"/>
    </row>
    <row r="70" spans="1:8">
      <c r="A70" s="27"/>
      <c r="F70" s="229"/>
      <c r="G70" s="94"/>
    </row>
    <row r="71" spans="1:8">
      <c r="A71" s="27"/>
      <c r="B71" s="27" t="s">
        <v>341</v>
      </c>
      <c r="F71" s="229">
        <f>((C72*C73*C74)*C75)+(C72*C73*C74)</f>
        <v>1404</v>
      </c>
      <c r="G71" s="94" t="s">
        <v>336</v>
      </c>
    </row>
    <row r="72" spans="1:8">
      <c r="A72" s="27"/>
      <c r="B72" s="18" t="s">
        <v>337</v>
      </c>
      <c r="C72" s="204">
        <f>D38</f>
        <v>5.9090909090909092</v>
      </c>
      <c r="D72" s="18" t="s">
        <v>24</v>
      </c>
      <c r="F72" s="229"/>
      <c r="G72" s="94"/>
    </row>
    <row r="73" spans="1:8">
      <c r="A73" s="27"/>
      <c r="B73" s="18" t="s">
        <v>342</v>
      </c>
      <c r="C73" s="230">
        <f>C48</f>
        <v>1320</v>
      </c>
      <c r="D73" s="18" t="s">
        <v>24</v>
      </c>
      <c r="F73" s="229"/>
      <c r="G73" s="94"/>
    </row>
    <row r="74" spans="1:8">
      <c r="A74" s="27"/>
      <c r="B74" s="18" t="s">
        <v>339</v>
      </c>
      <c r="C74">
        <v>0.15</v>
      </c>
      <c r="D74" s="18" t="s">
        <v>24</v>
      </c>
      <c r="F74" s="229"/>
      <c r="G74" s="94"/>
    </row>
    <row r="75" spans="1:8">
      <c r="A75" s="27"/>
      <c r="B75" s="18" t="s">
        <v>340</v>
      </c>
      <c r="C75" s="231">
        <v>0.2</v>
      </c>
      <c r="D75" s="18" t="s">
        <v>24</v>
      </c>
      <c r="F75" s="229"/>
      <c r="G75" s="94"/>
    </row>
    <row r="76" spans="1:8">
      <c r="A76" s="27"/>
      <c r="B76" s="18" t="s">
        <v>328</v>
      </c>
      <c r="F76" s="229"/>
      <c r="G76" s="94"/>
    </row>
    <row r="77" spans="1:8">
      <c r="A77" s="27"/>
      <c r="F77" s="229"/>
      <c r="G77" s="94"/>
    </row>
    <row r="78" spans="1:8">
      <c r="A78" s="27"/>
      <c r="B78" s="18" t="s">
        <v>343</v>
      </c>
      <c r="F78" s="229">
        <f>((C79*C80*C81)*C82)+(C79*C80*C81)</f>
        <v>1404</v>
      </c>
      <c r="G78" s="94" t="s">
        <v>336</v>
      </c>
    </row>
    <row r="79" spans="1:8">
      <c r="A79" s="27"/>
      <c r="B79" s="18" t="s">
        <v>337</v>
      </c>
      <c r="C79" s="204">
        <f>D38</f>
        <v>5.9090909090909092</v>
      </c>
      <c r="D79" s="18" t="s">
        <v>24</v>
      </c>
      <c r="F79" s="229"/>
      <c r="G79" s="94"/>
    </row>
    <row r="80" spans="1:8">
      <c r="A80" s="27"/>
      <c r="B80" s="18" t="s">
        <v>338</v>
      </c>
      <c r="C80" s="230">
        <f>C48</f>
        <v>1320</v>
      </c>
      <c r="D80" s="18" t="s">
        <v>24</v>
      </c>
      <c r="F80" s="229"/>
      <c r="G80" s="94"/>
    </row>
    <row r="81" spans="1:7">
      <c r="B81" s="18" t="s">
        <v>339</v>
      </c>
      <c r="C81">
        <v>0.15</v>
      </c>
      <c r="D81" s="18" t="s">
        <v>24</v>
      </c>
      <c r="F81" s="229"/>
      <c r="G81" s="94"/>
    </row>
    <row r="82" spans="1:7">
      <c r="A82" s="18"/>
      <c r="B82" s="18" t="s">
        <v>340</v>
      </c>
      <c r="C82" s="231">
        <v>0.2</v>
      </c>
      <c r="D82" s="18" t="s">
        <v>24</v>
      </c>
      <c r="G82" s="6"/>
    </row>
    <row r="83" spans="1:7">
      <c r="A83" s="18"/>
      <c r="B83" s="18" t="s">
        <v>328</v>
      </c>
      <c r="G83" s="6"/>
    </row>
    <row r="84" spans="1:7">
      <c r="A84" s="18"/>
      <c r="B84" s="18"/>
      <c r="G84" s="6"/>
    </row>
    <row r="85" spans="1:7">
      <c r="A85" s="18" t="s">
        <v>344</v>
      </c>
      <c r="B85" t="s">
        <v>186</v>
      </c>
      <c r="G85" s="6"/>
    </row>
    <row r="86" spans="1:7">
      <c r="A86" s="18"/>
      <c r="B86" s="18" t="s">
        <v>345</v>
      </c>
      <c r="F86" s="233">
        <f>C87*C88</f>
        <v>582.12</v>
      </c>
      <c r="G86" s="94" t="s">
        <v>346</v>
      </c>
    </row>
    <row r="87" spans="1:7">
      <c r="A87" s="18"/>
      <c r="B87" s="18" t="s">
        <v>347</v>
      </c>
      <c r="C87" s="204">
        <f>G38</f>
        <v>237.6</v>
      </c>
      <c r="D87" s="27" t="s">
        <v>336</v>
      </c>
    </row>
    <row r="88" spans="1:7">
      <c r="A88" s="18"/>
      <c r="B88" s="18" t="s">
        <v>348</v>
      </c>
      <c r="C88" s="204">
        <v>2.4500000000000002</v>
      </c>
      <c r="D88" s="27" t="s">
        <v>349</v>
      </c>
    </row>
    <row r="89" spans="1:7">
      <c r="A89" s="18"/>
      <c r="B89" s="18" t="s">
        <v>350</v>
      </c>
      <c r="C89" s="204"/>
    </row>
    <row r="90" spans="1:7">
      <c r="A90" s="18"/>
      <c r="B90" s="18"/>
      <c r="C90" s="204"/>
    </row>
    <row r="91" spans="1:7">
      <c r="A91" s="234"/>
      <c r="B91" s="18" t="s">
        <v>351</v>
      </c>
      <c r="C91" s="204"/>
      <c r="E91" s="233"/>
      <c r="F91" s="235">
        <f>C92*C93</f>
        <v>8659.1999999999989</v>
      </c>
      <c r="G91" s="34" t="s">
        <v>32</v>
      </c>
    </row>
    <row r="92" spans="1:7">
      <c r="A92" s="234"/>
      <c r="B92" s="18" t="s">
        <v>338</v>
      </c>
      <c r="C92" s="204">
        <f>C48</f>
        <v>1320</v>
      </c>
      <c r="D92" s="18" t="s">
        <v>24</v>
      </c>
      <c r="E92" s="233"/>
      <c r="F92" s="236"/>
    </row>
    <row r="93" spans="1:7">
      <c r="A93" s="234"/>
      <c r="B93" s="18" t="s">
        <v>352</v>
      </c>
      <c r="C93" s="204">
        <v>6.56</v>
      </c>
      <c r="D93" s="18" t="s">
        <v>24</v>
      </c>
      <c r="E93" s="233"/>
      <c r="F93" s="236"/>
    </row>
    <row r="94" spans="1:7">
      <c r="A94" s="234"/>
      <c r="B94" s="18"/>
      <c r="C94" s="204"/>
      <c r="E94" s="233"/>
      <c r="F94" s="236"/>
    </row>
    <row r="95" spans="1:7">
      <c r="A95" s="234"/>
      <c r="B95" s="18"/>
      <c r="C95" s="204"/>
      <c r="E95" s="233"/>
      <c r="F95" s="236"/>
    </row>
    <row r="96" spans="1:7">
      <c r="A96" s="18"/>
      <c r="B96" s="18" t="s">
        <v>353</v>
      </c>
      <c r="C96" s="237"/>
      <c r="D96" s="236"/>
      <c r="E96" s="233"/>
      <c r="F96" s="236"/>
    </row>
    <row r="97" spans="1:7">
      <c r="A97" s="18"/>
      <c r="B97" s="18" t="s">
        <v>338</v>
      </c>
      <c r="C97" s="204">
        <f>C48</f>
        <v>1320</v>
      </c>
      <c r="D97" s="18" t="s">
        <v>24</v>
      </c>
      <c r="E97" s="233"/>
      <c r="F97" s="233">
        <f>C97*C98</f>
        <v>8659.1999999999989</v>
      </c>
      <c r="G97" s="34" t="s">
        <v>32</v>
      </c>
    </row>
    <row r="98" spans="1:7">
      <c r="A98" s="18"/>
      <c r="B98" s="18" t="s">
        <v>352</v>
      </c>
      <c r="C98" s="204">
        <v>6.56</v>
      </c>
      <c r="D98" s="18" t="s">
        <v>24</v>
      </c>
      <c r="E98" s="233"/>
      <c r="F98" s="236"/>
    </row>
    <row r="99" spans="1:7">
      <c r="A99" s="18"/>
      <c r="B99" s="18" t="s">
        <v>328</v>
      </c>
      <c r="C99" s="237"/>
      <c r="D99" s="236"/>
      <c r="E99" s="233"/>
      <c r="F99" s="236"/>
    </row>
    <row r="100" spans="1:7">
      <c r="A100" s="18"/>
      <c r="B100" s="17"/>
      <c r="C100" s="238"/>
      <c r="D100" s="236"/>
    </row>
    <row r="101" spans="1:7" s="18" customFormat="1">
      <c r="A101" s="18" t="s">
        <v>354</v>
      </c>
      <c r="B101" s="18" t="s">
        <v>355</v>
      </c>
      <c r="C101" s="30"/>
      <c r="D101" s="27"/>
    </row>
    <row r="102" spans="1:7" s="18" customFormat="1">
      <c r="B102" s="18" t="s">
        <v>356</v>
      </c>
      <c r="C102" s="30"/>
      <c r="D102" s="27"/>
      <c r="E102" s="233"/>
      <c r="F102" s="235">
        <f>C103*C104</f>
        <v>264</v>
      </c>
      <c r="G102" s="34" t="s">
        <v>32</v>
      </c>
    </row>
    <row r="103" spans="1:7" s="18" customFormat="1">
      <c r="B103" s="18" t="s">
        <v>332</v>
      </c>
      <c r="C103" s="239">
        <f>C48*2</f>
        <v>2640</v>
      </c>
      <c r="D103" s="18" t="s">
        <v>24</v>
      </c>
      <c r="E103" s="233"/>
      <c r="F103" s="236"/>
    </row>
    <row r="104" spans="1:7" s="18" customFormat="1">
      <c r="B104" s="18" t="s">
        <v>331</v>
      </c>
      <c r="C104" s="239">
        <v>0.1</v>
      </c>
      <c r="D104" s="18" t="s">
        <v>24</v>
      </c>
      <c r="E104" s="233"/>
      <c r="F104" s="236"/>
    </row>
    <row r="105" spans="1:7" s="18" customFormat="1">
      <c r="B105" s="18" t="s">
        <v>357</v>
      </c>
      <c r="C105" s="239"/>
      <c r="D105" s="27"/>
      <c r="E105" s="233"/>
      <c r="F105" s="236"/>
    </row>
    <row r="106" spans="1:7" s="18" customFormat="1">
      <c r="B106" s="18" t="s">
        <v>358</v>
      </c>
      <c r="C106" s="239">
        <f>C48/3</f>
        <v>440</v>
      </c>
      <c r="D106" s="18" t="s">
        <v>24</v>
      </c>
      <c r="E106" s="233"/>
      <c r="F106" s="233">
        <f>C106*C107</f>
        <v>44</v>
      </c>
      <c r="G106" s="34" t="s">
        <v>32</v>
      </c>
    </row>
    <row r="107" spans="1:7" s="18" customFormat="1">
      <c r="B107" s="18" t="s">
        <v>331</v>
      </c>
      <c r="C107" s="239">
        <v>0.1</v>
      </c>
      <c r="D107" s="18" t="s">
        <v>24</v>
      </c>
    </row>
    <row r="108" spans="1:7" s="18" customFormat="1">
      <c r="B108" s="18" t="s">
        <v>328</v>
      </c>
      <c r="C108" s="240" t="s">
        <v>41</v>
      </c>
      <c r="D108" s="27"/>
      <c r="F108" s="31">
        <f>F106+F102</f>
        <v>308</v>
      </c>
      <c r="G108" s="34" t="s">
        <v>32</v>
      </c>
    </row>
    <row r="109" spans="1:7" s="18" customFormat="1">
      <c r="C109" s="30"/>
      <c r="D109" s="27"/>
    </row>
    <row r="110" spans="1:7" s="18" customFormat="1">
      <c r="C110" s="30"/>
      <c r="D110" s="27"/>
    </row>
    <row r="111" spans="1:7">
      <c r="A111" s="18" t="s">
        <v>359</v>
      </c>
      <c r="B111" s="27" t="s">
        <v>360</v>
      </c>
      <c r="D111" s="223"/>
      <c r="E111" s="223"/>
      <c r="F111" s="223"/>
      <c r="G111" s="238"/>
    </row>
    <row r="112" spans="1:7">
      <c r="B112" s="27" t="s">
        <v>361</v>
      </c>
      <c r="C112" s="17">
        <f>14*0.5*0.5</f>
        <v>3.5</v>
      </c>
      <c r="D112" s="236" t="s">
        <v>32</v>
      </c>
      <c r="E112" s="223"/>
      <c r="F112" s="223"/>
      <c r="G112" s="238"/>
    </row>
    <row r="113" spans="1:7">
      <c r="B113" s="27"/>
      <c r="C113" s="17"/>
      <c r="D113" s="236"/>
      <c r="E113" s="223"/>
      <c r="F113" s="223"/>
      <c r="G113" s="238"/>
    </row>
    <row r="114" spans="1:7">
      <c r="D114" s="223"/>
      <c r="E114" s="223"/>
      <c r="F114" s="223"/>
      <c r="G114" s="238"/>
    </row>
    <row r="115" spans="1:7">
      <c r="A115" s="18" t="s">
        <v>362</v>
      </c>
      <c r="B115" s="27" t="s">
        <v>363</v>
      </c>
      <c r="C115" s="222">
        <v>54</v>
      </c>
      <c r="D115" s="236" t="s">
        <v>48</v>
      </c>
      <c r="E115" s="223"/>
      <c r="F115" s="223"/>
      <c r="G115" s="238"/>
    </row>
    <row r="116" spans="1:7">
      <c r="B116" s="27" t="s">
        <v>364</v>
      </c>
      <c r="C116" s="17"/>
      <c r="D116" s="236"/>
      <c r="E116" s="223"/>
      <c r="F116" s="223"/>
      <c r="G116" s="238"/>
    </row>
    <row r="117" spans="1:7">
      <c r="B117" s="27"/>
      <c r="C117" s="17"/>
      <c r="D117" s="236"/>
      <c r="E117" s="223"/>
      <c r="F117" s="223"/>
      <c r="G117" s="238"/>
    </row>
    <row r="118" spans="1:7">
      <c r="D118" s="223"/>
      <c r="E118" s="223"/>
      <c r="F118" s="223"/>
    </row>
    <row r="119" spans="1:7">
      <c r="D119" s="223"/>
      <c r="E119" s="223"/>
      <c r="F119" s="223"/>
    </row>
    <row r="120" spans="1:7">
      <c r="B120" s="13"/>
      <c r="D120" s="223"/>
      <c r="E120" s="223"/>
      <c r="F120" s="223"/>
    </row>
    <row r="121" spans="1:7">
      <c r="B121" s="35"/>
      <c r="D121" s="223"/>
      <c r="E121" s="223"/>
      <c r="F121" s="223"/>
    </row>
    <row r="122" spans="1:7">
      <c r="D122" s="223"/>
      <c r="E122" s="223"/>
      <c r="F122" s="223"/>
    </row>
    <row r="123" spans="1:7">
      <c r="D123" s="223"/>
      <c r="E123" s="223"/>
      <c r="F123" s="223"/>
    </row>
    <row r="124" spans="1:7">
      <c r="D124" s="223"/>
      <c r="E124" s="223"/>
      <c r="F124" s="223"/>
    </row>
    <row r="125" spans="1:7">
      <c r="D125" s="223"/>
      <c r="E125" s="223"/>
      <c r="F125" s="223"/>
    </row>
    <row r="126" spans="1:7">
      <c r="D126" s="223"/>
      <c r="E126" s="223"/>
      <c r="F126" s="223"/>
    </row>
    <row r="127" spans="1:7">
      <c r="D127" s="223"/>
      <c r="E127" s="223"/>
      <c r="F127" s="223"/>
    </row>
    <row r="128" spans="1:7">
      <c r="D128" s="223"/>
      <c r="E128" s="223"/>
      <c r="F128" s="223"/>
    </row>
    <row r="129" spans="4:6">
      <c r="D129" s="223"/>
      <c r="E129" s="223"/>
      <c r="F129" s="223"/>
    </row>
    <row r="130" spans="4:6">
      <c r="D130" s="223"/>
      <c r="E130" s="223"/>
      <c r="F130" s="223"/>
    </row>
    <row r="131" spans="4:6">
      <c r="D131" s="223"/>
      <c r="E131" s="223"/>
      <c r="F131" s="223"/>
    </row>
    <row r="132" spans="4:6">
      <c r="D132" s="223"/>
      <c r="E132" s="223"/>
      <c r="F132" s="223"/>
    </row>
    <row r="133" spans="4:6">
      <c r="D133" s="223"/>
      <c r="E133" s="223"/>
      <c r="F133" s="223"/>
    </row>
    <row r="134" spans="4:6">
      <c r="D134" s="223"/>
      <c r="E134" s="223"/>
      <c r="F134" s="223"/>
    </row>
    <row r="135" spans="4:6">
      <c r="D135" s="223"/>
      <c r="E135" s="223"/>
      <c r="F135" s="223"/>
    </row>
    <row r="136" spans="4:6">
      <c r="D136" s="223"/>
      <c r="E136" s="223"/>
      <c r="F136" s="223"/>
    </row>
    <row r="137" spans="4:6">
      <c r="D137" s="223"/>
      <c r="E137" s="223"/>
      <c r="F137" s="223"/>
    </row>
    <row r="138" spans="4:6">
      <c r="D138" s="223"/>
      <c r="E138" s="223"/>
      <c r="F138" s="223"/>
    </row>
    <row r="139" spans="4:6">
      <c r="D139" s="223"/>
      <c r="E139" s="223"/>
      <c r="F139" s="223"/>
    </row>
    <row r="140" spans="4:6">
      <c r="D140" s="223"/>
      <c r="E140" s="223"/>
      <c r="F140" s="223"/>
    </row>
    <row r="141" spans="4:6">
      <c r="D141" s="223"/>
      <c r="E141" s="223"/>
      <c r="F141" s="223"/>
    </row>
    <row r="142" spans="4:6">
      <c r="D142" s="223"/>
      <c r="E142" s="223"/>
      <c r="F142" s="223"/>
    </row>
    <row r="143" spans="4:6">
      <c r="D143" s="223"/>
      <c r="E143" s="223"/>
      <c r="F143" s="223"/>
    </row>
    <row r="144" spans="4:6">
      <c r="D144" s="223"/>
      <c r="E144" s="223"/>
      <c r="F144" s="223"/>
    </row>
    <row r="145" spans="4:6">
      <c r="D145" s="223"/>
      <c r="E145" s="223"/>
      <c r="F145" s="223"/>
    </row>
    <row r="146" spans="4:6">
      <c r="D146" s="223"/>
      <c r="E146" s="223"/>
      <c r="F146" s="223"/>
    </row>
    <row r="147" spans="4:6">
      <c r="D147" s="223"/>
      <c r="E147" s="223"/>
      <c r="F147" s="223"/>
    </row>
    <row r="148" spans="4:6">
      <c r="D148" s="223"/>
      <c r="E148" s="223"/>
      <c r="F148" s="223"/>
    </row>
    <row r="149" spans="4:6">
      <c r="D149" s="223"/>
      <c r="E149" s="223"/>
      <c r="F149" s="223"/>
    </row>
    <row r="150" spans="4:6">
      <c r="D150" s="223"/>
      <c r="E150" s="223"/>
      <c r="F150" s="223"/>
    </row>
    <row r="151" spans="4:6">
      <c r="D151" s="223"/>
      <c r="E151" s="223"/>
      <c r="F151" s="223"/>
    </row>
    <row r="152" spans="4:6">
      <c r="D152" s="223"/>
      <c r="E152" s="223"/>
      <c r="F152" s="223"/>
    </row>
    <row r="153" spans="4:6">
      <c r="D153" s="223"/>
      <c r="E153" s="223"/>
      <c r="F153" s="223"/>
    </row>
    <row r="154" spans="4:6">
      <c r="D154" s="223"/>
      <c r="E154" s="223"/>
      <c r="F154" s="223"/>
    </row>
    <row r="155" spans="4:6">
      <c r="D155" s="223"/>
      <c r="E155" s="223"/>
      <c r="F155" s="223"/>
    </row>
    <row r="156" spans="4:6">
      <c r="D156" s="223"/>
      <c r="E156" s="223"/>
      <c r="F156" s="223"/>
    </row>
    <row r="157" spans="4:6">
      <c r="D157" s="223"/>
      <c r="E157" s="223"/>
      <c r="F157" s="223"/>
    </row>
    <row r="158" spans="4:6">
      <c r="D158" s="223"/>
      <c r="E158" s="223"/>
      <c r="F158" s="223"/>
    </row>
    <row r="159" spans="4:6">
      <c r="D159" s="223"/>
      <c r="E159" s="223"/>
      <c r="F159" s="223"/>
    </row>
    <row r="160" spans="4:6">
      <c r="D160" s="223"/>
      <c r="E160" s="223"/>
      <c r="F160" s="223"/>
    </row>
    <row r="161" spans="4:6">
      <c r="D161" s="223"/>
      <c r="E161" s="223"/>
      <c r="F161" s="223"/>
    </row>
    <row r="162" spans="4:6">
      <c r="D162" s="223"/>
      <c r="E162" s="223"/>
      <c r="F162" s="223"/>
    </row>
    <row r="163" spans="4:6">
      <c r="D163" s="223"/>
      <c r="E163" s="223"/>
      <c r="F163" s="223"/>
    </row>
    <row r="164" spans="4:6">
      <c r="D164" s="223"/>
      <c r="E164" s="223"/>
      <c r="F164" s="223"/>
    </row>
    <row r="165" spans="4:6">
      <c r="D165" s="223"/>
      <c r="E165" s="223"/>
      <c r="F165" s="223"/>
    </row>
    <row r="166" spans="4:6">
      <c r="D166" s="223"/>
      <c r="E166" s="223"/>
      <c r="F166" s="223"/>
    </row>
    <row r="167" spans="4:6">
      <c r="D167" s="223"/>
      <c r="E167" s="223"/>
      <c r="F167" s="223"/>
    </row>
    <row r="168" spans="4:6">
      <c r="D168" s="223"/>
      <c r="E168" s="223"/>
      <c r="F168" s="223"/>
    </row>
    <row r="169" spans="4:6">
      <c r="D169" s="223"/>
      <c r="E169" s="223"/>
      <c r="F169" s="223"/>
    </row>
    <row r="170" spans="4:6">
      <c r="D170" s="223"/>
      <c r="E170" s="223"/>
      <c r="F170" s="223"/>
    </row>
    <row r="171" spans="4:6">
      <c r="D171" s="223"/>
      <c r="E171" s="223"/>
      <c r="F171" s="223"/>
    </row>
    <row r="172" spans="4:6">
      <c r="D172" s="223"/>
      <c r="E172" s="223"/>
      <c r="F172" s="223"/>
    </row>
    <row r="173" spans="4:6">
      <c r="D173" s="223"/>
      <c r="E173" s="223"/>
      <c r="F173" s="223"/>
    </row>
    <row r="174" spans="4:6">
      <c r="D174" s="223"/>
      <c r="E174" s="223"/>
      <c r="F174" s="223"/>
    </row>
    <row r="175" spans="4:6">
      <c r="D175" s="223"/>
      <c r="E175" s="223"/>
      <c r="F175" s="223"/>
    </row>
    <row r="176" spans="4:6">
      <c r="D176" s="223"/>
      <c r="E176" s="223"/>
      <c r="F176" s="223"/>
    </row>
    <row r="177" spans="4:6">
      <c r="D177" s="223"/>
      <c r="E177" s="223"/>
      <c r="F177" s="223"/>
    </row>
    <row r="178" spans="4:6">
      <c r="D178" s="223"/>
      <c r="E178" s="223"/>
      <c r="F178" s="223"/>
    </row>
    <row r="179" spans="4:6">
      <c r="D179" s="223"/>
      <c r="E179" s="223"/>
      <c r="F179" s="223"/>
    </row>
    <row r="180" spans="4:6">
      <c r="D180" s="223"/>
      <c r="E180" s="223"/>
      <c r="F180" s="223"/>
    </row>
    <row r="181" spans="4:6">
      <c r="D181" s="223"/>
      <c r="E181" s="223"/>
      <c r="F181" s="223"/>
    </row>
    <row r="182" spans="4:6">
      <c r="D182" s="223"/>
      <c r="E182" s="223"/>
      <c r="F182" s="223"/>
    </row>
    <row r="183" spans="4:6">
      <c r="D183" s="223"/>
      <c r="E183" s="223"/>
      <c r="F183" s="223"/>
    </row>
    <row r="184" spans="4:6">
      <c r="D184" s="223"/>
      <c r="E184" s="223"/>
      <c r="F184" s="223"/>
    </row>
    <row r="185" spans="4:6">
      <c r="D185" s="223"/>
      <c r="E185" s="223"/>
      <c r="F185" s="223"/>
    </row>
    <row r="186" spans="4:6">
      <c r="D186" s="223"/>
      <c r="E186" s="223"/>
      <c r="F186" s="223"/>
    </row>
    <row r="187" spans="4:6">
      <c r="D187" s="223"/>
      <c r="E187" s="223"/>
      <c r="F187" s="223"/>
    </row>
    <row r="188" spans="4:6">
      <c r="D188" s="223"/>
      <c r="E188" s="223"/>
      <c r="F188" s="223"/>
    </row>
    <row r="189" spans="4:6">
      <c r="D189" s="223"/>
      <c r="E189" s="223"/>
      <c r="F189" s="223"/>
    </row>
    <row r="190" spans="4:6">
      <c r="D190" s="223"/>
      <c r="E190" s="223"/>
      <c r="F190" s="223"/>
    </row>
    <row r="191" spans="4:6">
      <c r="D191" s="223"/>
      <c r="E191" s="223"/>
      <c r="F191" s="223"/>
    </row>
    <row r="192" spans="4:6">
      <c r="D192" s="223"/>
      <c r="E192" s="223"/>
      <c r="F192" s="223"/>
    </row>
    <row r="193" spans="4:6">
      <c r="D193" s="223"/>
      <c r="E193" s="223"/>
      <c r="F193" s="223"/>
    </row>
    <row r="194" spans="4:6">
      <c r="D194" s="223"/>
      <c r="E194" s="223"/>
      <c r="F194" s="223"/>
    </row>
    <row r="195" spans="4:6">
      <c r="D195" s="223"/>
      <c r="E195" s="223"/>
      <c r="F195" s="223"/>
    </row>
    <row r="196" spans="4:6">
      <c r="D196" s="223"/>
      <c r="E196" s="223"/>
      <c r="F196" s="223"/>
    </row>
    <row r="197" spans="4:6">
      <c r="D197" s="223"/>
      <c r="E197" s="223"/>
      <c r="F197" s="223"/>
    </row>
    <row r="198" spans="4:6">
      <c r="D198" s="223"/>
      <c r="E198" s="223"/>
      <c r="F198" s="223"/>
    </row>
    <row r="199" spans="4:6">
      <c r="D199" s="223"/>
      <c r="E199" s="223"/>
      <c r="F199" s="223"/>
    </row>
    <row r="200" spans="4:6">
      <c r="D200" s="223"/>
      <c r="E200" s="223"/>
      <c r="F200" s="223"/>
    </row>
    <row r="201" spans="4:6">
      <c r="D201" s="223"/>
      <c r="E201" s="223"/>
      <c r="F201" s="223"/>
    </row>
    <row r="202" spans="4:6">
      <c r="D202" s="223"/>
      <c r="E202" s="223"/>
      <c r="F202" s="223"/>
    </row>
    <row r="203" spans="4:6">
      <c r="D203" s="223"/>
      <c r="E203" s="223"/>
      <c r="F203" s="223"/>
    </row>
    <row r="204" spans="4:6">
      <c r="D204" s="223"/>
      <c r="E204" s="223"/>
      <c r="F204" s="223"/>
    </row>
    <row r="205" spans="4:6">
      <c r="D205" s="223"/>
      <c r="E205" s="223"/>
      <c r="F205" s="223"/>
    </row>
    <row r="206" spans="4:6">
      <c r="D206" s="223"/>
      <c r="E206" s="223"/>
      <c r="F206" s="223"/>
    </row>
    <row r="207" spans="4:6">
      <c r="D207" s="223"/>
      <c r="E207" s="223"/>
      <c r="F207" s="223"/>
    </row>
    <row r="208" spans="4:6">
      <c r="D208" s="223"/>
      <c r="E208" s="223"/>
      <c r="F208" s="223"/>
    </row>
    <row r="209" spans="4:6">
      <c r="D209" s="223"/>
      <c r="E209" s="223"/>
      <c r="F209" s="223"/>
    </row>
    <row r="210" spans="4:6">
      <c r="D210" s="223"/>
      <c r="E210" s="223"/>
      <c r="F210" s="223"/>
    </row>
    <row r="211" spans="4:6">
      <c r="D211" s="223"/>
      <c r="E211" s="223"/>
      <c r="F211" s="223"/>
    </row>
    <row r="212" spans="4:6">
      <c r="D212" s="223"/>
      <c r="E212" s="223"/>
      <c r="F212" s="223"/>
    </row>
    <row r="213" spans="4:6">
      <c r="D213" s="223"/>
      <c r="E213" s="223"/>
      <c r="F213" s="223"/>
    </row>
    <row r="214" spans="4:6">
      <c r="D214" s="223"/>
      <c r="E214" s="223"/>
      <c r="F214" s="223"/>
    </row>
    <row r="215" spans="4:6">
      <c r="D215" s="223"/>
      <c r="E215" s="223"/>
      <c r="F215" s="223"/>
    </row>
    <row r="216" spans="4:6">
      <c r="D216" s="223"/>
      <c r="E216" s="223"/>
      <c r="F216" s="223"/>
    </row>
    <row r="217" spans="4:6">
      <c r="D217" s="223"/>
      <c r="E217" s="223"/>
      <c r="F217" s="223"/>
    </row>
    <row r="218" spans="4:6">
      <c r="D218" s="223"/>
      <c r="E218" s="223"/>
      <c r="F218" s="223"/>
    </row>
    <row r="219" spans="4:6">
      <c r="D219" s="223"/>
      <c r="E219" s="223"/>
      <c r="F219" s="223"/>
    </row>
    <row r="220" spans="4:6">
      <c r="D220" s="223"/>
      <c r="E220" s="223"/>
      <c r="F220" s="223"/>
    </row>
    <row r="221" spans="4:6">
      <c r="D221" s="223"/>
      <c r="E221" s="223"/>
      <c r="F221" s="223"/>
    </row>
    <row r="222" spans="4:6">
      <c r="D222" s="223"/>
      <c r="E222" s="223"/>
      <c r="F222" s="223"/>
    </row>
    <row r="223" spans="4:6">
      <c r="D223" s="223"/>
      <c r="E223" s="223"/>
      <c r="F223" s="223"/>
    </row>
    <row r="224" spans="4:6">
      <c r="D224" s="223"/>
      <c r="E224" s="223"/>
      <c r="F224" s="223"/>
    </row>
    <row r="225" spans="4:6">
      <c r="D225" s="223"/>
      <c r="E225" s="223"/>
      <c r="F225" s="223"/>
    </row>
    <row r="226" spans="4:6">
      <c r="D226" s="223"/>
      <c r="E226" s="223"/>
      <c r="F226" s="223"/>
    </row>
    <row r="227" spans="4:6">
      <c r="D227" s="223"/>
      <c r="E227" s="223"/>
      <c r="F227" s="223"/>
    </row>
    <row r="228" spans="4:6">
      <c r="D228" s="223"/>
      <c r="E228" s="223"/>
      <c r="F228" s="223"/>
    </row>
    <row r="229" spans="4:6">
      <c r="D229" s="223"/>
      <c r="E229" s="223"/>
      <c r="F229" s="223"/>
    </row>
    <row r="230" spans="4:6">
      <c r="D230" s="223"/>
      <c r="E230" s="223"/>
      <c r="F230" s="223"/>
    </row>
    <row r="231" spans="4:6">
      <c r="D231" s="223"/>
      <c r="E231" s="223"/>
      <c r="F231" s="223"/>
    </row>
    <row r="232" spans="4:6">
      <c r="D232" s="223"/>
      <c r="E232" s="223"/>
      <c r="F232" s="223"/>
    </row>
    <row r="233" spans="4:6">
      <c r="D233" s="223"/>
      <c r="E233" s="223"/>
      <c r="F233" s="223"/>
    </row>
    <row r="234" spans="4:6">
      <c r="D234" s="223"/>
      <c r="E234" s="223"/>
      <c r="F234" s="223"/>
    </row>
    <row r="235" spans="4:6">
      <c r="D235" s="223"/>
      <c r="E235" s="223"/>
      <c r="F235" s="223"/>
    </row>
    <row r="236" spans="4:6">
      <c r="D236" s="223"/>
      <c r="E236" s="223"/>
      <c r="F236" s="223"/>
    </row>
    <row r="237" spans="4:6">
      <c r="D237" s="223"/>
      <c r="E237" s="223"/>
      <c r="F237" s="223"/>
    </row>
    <row r="238" spans="4:6">
      <c r="D238" s="223"/>
      <c r="E238" s="223"/>
      <c r="F238" s="223"/>
    </row>
    <row r="239" spans="4:6">
      <c r="D239" s="223"/>
      <c r="E239" s="223"/>
      <c r="F239" s="223"/>
    </row>
    <row r="240" spans="4:6">
      <c r="D240" s="223"/>
      <c r="E240" s="223"/>
      <c r="F240" s="223"/>
    </row>
    <row r="241" spans="4:6">
      <c r="D241" s="223"/>
      <c r="E241" s="223"/>
      <c r="F241" s="223"/>
    </row>
    <row r="242" spans="4:6">
      <c r="D242" s="223"/>
      <c r="E242" s="223"/>
      <c r="F242" s="223"/>
    </row>
    <row r="243" spans="4:6">
      <c r="D243" s="223"/>
      <c r="E243" s="223"/>
      <c r="F243" s="223"/>
    </row>
    <row r="244" spans="4:6">
      <c r="D244" s="223"/>
      <c r="E244" s="223"/>
      <c r="F244" s="223"/>
    </row>
    <row r="245" spans="4:6">
      <c r="D245" s="223"/>
      <c r="E245" s="223"/>
      <c r="F245" s="223"/>
    </row>
    <row r="246" spans="4:6">
      <c r="D246" s="223"/>
      <c r="E246" s="223"/>
      <c r="F246" s="223"/>
    </row>
    <row r="247" spans="4:6">
      <c r="D247" s="223"/>
      <c r="E247" s="223"/>
      <c r="F247" s="223"/>
    </row>
    <row r="248" spans="4:6">
      <c r="D248" s="223"/>
      <c r="E248" s="223"/>
      <c r="F248" s="223"/>
    </row>
    <row r="249" spans="4:6">
      <c r="D249" s="223"/>
      <c r="E249" s="223"/>
      <c r="F249" s="223"/>
    </row>
    <row r="250" spans="4:6">
      <c r="D250" s="223"/>
      <c r="E250" s="223"/>
      <c r="F250" s="223"/>
    </row>
    <row r="251" spans="4:6">
      <c r="D251" s="223"/>
      <c r="E251" s="223"/>
      <c r="F251" s="223"/>
    </row>
    <row r="252" spans="4:6">
      <c r="D252" s="223"/>
      <c r="E252" s="223"/>
      <c r="F252" s="223"/>
    </row>
    <row r="253" spans="4:6">
      <c r="D253" s="223"/>
      <c r="E253" s="223"/>
      <c r="F253" s="223"/>
    </row>
    <row r="254" spans="4:6">
      <c r="D254" s="223"/>
      <c r="E254" s="223"/>
      <c r="F254" s="223"/>
    </row>
    <row r="255" spans="4:6">
      <c r="D255" s="223"/>
      <c r="E255" s="223"/>
      <c r="F255" s="223"/>
    </row>
    <row r="256" spans="4:6">
      <c r="D256" s="223"/>
      <c r="E256" s="223"/>
      <c r="F256" s="223"/>
    </row>
    <row r="257" spans="4:6">
      <c r="D257" s="223"/>
      <c r="E257" s="223"/>
      <c r="F257" s="223"/>
    </row>
    <row r="258" spans="4:6">
      <c r="D258" s="223"/>
      <c r="E258" s="223"/>
      <c r="F258" s="223"/>
    </row>
    <row r="259" spans="4:6">
      <c r="D259" s="223"/>
      <c r="E259" s="223"/>
      <c r="F259" s="223"/>
    </row>
    <row r="260" spans="4:6">
      <c r="D260" s="223"/>
      <c r="E260" s="223"/>
      <c r="F260" s="223"/>
    </row>
    <row r="261" spans="4:6">
      <c r="D261" s="223"/>
      <c r="E261" s="223"/>
      <c r="F261" s="223"/>
    </row>
    <row r="262" spans="4:6">
      <c r="D262" s="223"/>
      <c r="E262" s="223"/>
      <c r="F262" s="223"/>
    </row>
    <row r="263" spans="4:6">
      <c r="D263" s="223"/>
      <c r="E263" s="223"/>
      <c r="F263" s="223"/>
    </row>
    <row r="264" spans="4:6">
      <c r="D264" s="223"/>
      <c r="E264" s="223"/>
      <c r="F264" s="223"/>
    </row>
    <row r="265" spans="4:6">
      <c r="D265" s="223"/>
      <c r="E265" s="223"/>
      <c r="F265" s="223"/>
    </row>
    <row r="266" spans="4:6">
      <c r="D266" s="223"/>
      <c r="E266" s="223"/>
      <c r="F266" s="223"/>
    </row>
    <row r="267" spans="4:6">
      <c r="D267" s="223"/>
      <c r="E267" s="223"/>
      <c r="F267" s="223"/>
    </row>
    <row r="268" spans="4:6">
      <c r="D268" s="223"/>
      <c r="E268" s="223"/>
      <c r="F268" s="223"/>
    </row>
    <row r="269" spans="4:6">
      <c r="D269" s="223"/>
      <c r="E269" s="223"/>
      <c r="F269" s="223"/>
    </row>
    <row r="270" spans="4:6">
      <c r="D270" s="223"/>
      <c r="E270" s="223"/>
      <c r="F270" s="223"/>
    </row>
    <row r="271" spans="4:6">
      <c r="D271" s="223"/>
      <c r="E271" s="223"/>
      <c r="F271" s="223"/>
    </row>
    <row r="272" spans="4:6">
      <c r="D272" s="223"/>
      <c r="E272" s="223"/>
      <c r="F272" s="223"/>
    </row>
    <row r="273" spans="4:6">
      <c r="D273" s="223"/>
      <c r="E273" s="223"/>
      <c r="F273" s="223"/>
    </row>
    <row r="274" spans="4:6">
      <c r="D274" s="223"/>
      <c r="E274" s="223"/>
      <c r="F274" s="223"/>
    </row>
    <row r="275" spans="4:6">
      <c r="D275" s="223"/>
      <c r="E275" s="223"/>
      <c r="F275" s="223"/>
    </row>
    <row r="276" spans="4:6">
      <c r="D276" s="223"/>
      <c r="E276" s="223"/>
      <c r="F276" s="223"/>
    </row>
    <row r="277" spans="4:6">
      <c r="D277" s="223"/>
      <c r="E277" s="223"/>
      <c r="F277" s="223"/>
    </row>
    <row r="278" spans="4:6">
      <c r="D278" s="223"/>
      <c r="E278" s="223"/>
      <c r="F278" s="223"/>
    </row>
    <row r="279" spans="4:6">
      <c r="D279" s="223"/>
      <c r="E279" s="223"/>
      <c r="F279" s="223"/>
    </row>
    <row r="280" spans="4:6">
      <c r="D280" s="223"/>
      <c r="E280" s="223"/>
      <c r="F280" s="223"/>
    </row>
    <row r="281" spans="4:6">
      <c r="D281" s="223"/>
      <c r="E281" s="223"/>
      <c r="F281" s="223"/>
    </row>
    <row r="282" spans="4:6">
      <c r="D282" s="223"/>
      <c r="E282" s="223"/>
      <c r="F282" s="223"/>
    </row>
    <row r="283" spans="4:6">
      <c r="D283" s="223"/>
      <c r="E283" s="223"/>
      <c r="F283" s="223"/>
    </row>
    <row r="284" spans="4:6">
      <c r="D284" s="223"/>
      <c r="E284" s="223"/>
      <c r="F284" s="223"/>
    </row>
    <row r="285" spans="4:6">
      <c r="D285" s="223"/>
      <c r="E285" s="223"/>
      <c r="F285" s="223"/>
    </row>
    <row r="286" spans="4:6">
      <c r="D286" s="223"/>
      <c r="E286" s="223"/>
      <c r="F286" s="223"/>
    </row>
    <row r="287" spans="4:6">
      <c r="D287" s="223"/>
      <c r="E287" s="223"/>
      <c r="F287" s="223"/>
    </row>
    <row r="288" spans="4:6">
      <c r="D288" s="223"/>
      <c r="E288" s="223"/>
      <c r="F288" s="223"/>
    </row>
    <row r="289" spans="4:6">
      <c r="D289" s="223"/>
      <c r="E289" s="223"/>
      <c r="F289" s="223"/>
    </row>
    <row r="290" spans="4:6">
      <c r="D290" s="223"/>
      <c r="E290" s="223"/>
      <c r="F290" s="223"/>
    </row>
    <row r="291" spans="4:6">
      <c r="D291" s="223"/>
      <c r="E291" s="223"/>
      <c r="F291" s="223"/>
    </row>
    <row r="292" spans="4:6">
      <c r="D292" s="223"/>
      <c r="E292" s="223"/>
      <c r="F292" s="223"/>
    </row>
    <row r="293" spans="4:6">
      <c r="D293" s="223"/>
      <c r="E293" s="223"/>
      <c r="F293" s="223"/>
    </row>
    <row r="294" spans="4:6">
      <c r="D294" s="223"/>
      <c r="E294" s="223"/>
      <c r="F294" s="223"/>
    </row>
    <row r="295" spans="4:6">
      <c r="D295" s="223"/>
      <c r="E295" s="223"/>
      <c r="F295" s="223"/>
    </row>
    <row r="296" spans="4:6">
      <c r="D296" s="223"/>
      <c r="E296" s="223"/>
      <c r="F296" s="223"/>
    </row>
    <row r="297" spans="4:6">
      <c r="D297" s="223"/>
      <c r="E297" s="223"/>
      <c r="F297" s="223"/>
    </row>
    <row r="298" spans="4:6">
      <c r="D298" s="223"/>
      <c r="E298" s="223"/>
      <c r="F298" s="223"/>
    </row>
    <row r="299" spans="4:6">
      <c r="D299" s="223"/>
      <c r="E299" s="223"/>
      <c r="F299" s="223"/>
    </row>
    <row r="300" spans="4:6">
      <c r="D300" s="223"/>
      <c r="E300" s="223"/>
      <c r="F300" s="223"/>
    </row>
    <row r="301" spans="4:6">
      <c r="D301" s="223"/>
      <c r="E301" s="223"/>
      <c r="F301" s="223"/>
    </row>
    <row r="302" spans="4:6">
      <c r="D302" s="223"/>
      <c r="E302" s="223"/>
      <c r="F302" s="223"/>
    </row>
    <row r="303" spans="4:6">
      <c r="D303" s="223"/>
      <c r="E303" s="223"/>
      <c r="F303" s="223"/>
    </row>
    <row r="304" spans="4:6">
      <c r="D304" s="223"/>
      <c r="E304" s="223"/>
      <c r="F304" s="223"/>
    </row>
    <row r="305" spans="4:6">
      <c r="D305" s="223"/>
      <c r="E305" s="223"/>
      <c r="F305" s="223"/>
    </row>
    <row r="306" spans="4:6">
      <c r="D306" s="223"/>
      <c r="E306" s="223"/>
      <c r="F306" s="223"/>
    </row>
    <row r="307" spans="4:6">
      <c r="D307" s="223"/>
      <c r="E307" s="223"/>
      <c r="F307" s="223"/>
    </row>
    <row r="308" spans="4:6">
      <c r="D308" s="223"/>
      <c r="E308" s="223"/>
      <c r="F308" s="223"/>
    </row>
    <row r="309" spans="4:6">
      <c r="D309" s="223"/>
      <c r="E309" s="223"/>
      <c r="F309" s="223"/>
    </row>
    <row r="310" spans="4:6">
      <c r="D310" s="223"/>
      <c r="E310" s="223"/>
      <c r="F310" s="223"/>
    </row>
    <row r="311" spans="4:6">
      <c r="D311" s="223"/>
      <c r="E311" s="223"/>
      <c r="F311" s="223"/>
    </row>
    <row r="312" spans="4:6">
      <c r="D312" s="223"/>
      <c r="E312" s="223"/>
      <c r="F312" s="223"/>
    </row>
    <row r="313" spans="4:6">
      <c r="D313" s="223"/>
      <c r="E313" s="223"/>
      <c r="F313" s="223"/>
    </row>
    <row r="314" spans="4:6">
      <c r="D314" s="223"/>
      <c r="E314" s="223"/>
      <c r="F314" s="223"/>
    </row>
    <row r="315" spans="4:6">
      <c r="D315" s="223"/>
      <c r="E315" s="223"/>
      <c r="F315" s="223"/>
    </row>
    <row r="316" spans="4:6">
      <c r="D316" s="223"/>
      <c r="E316" s="223"/>
      <c r="F316" s="223"/>
    </row>
    <row r="317" spans="4:6">
      <c r="D317" s="223"/>
      <c r="E317" s="223"/>
      <c r="F317" s="223"/>
    </row>
    <row r="318" spans="4:6">
      <c r="D318" s="223"/>
      <c r="E318" s="223"/>
      <c r="F318" s="223"/>
    </row>
    <row r="319" spans="4:6">
      <c r="D319" s="223"/>
      <c r="E319" s="223"/>
      <c r="F319" s="223"/>
    </row>
    <row r="320" spans="4:6">
      <c r="D320" s="223"/>
      <c r="E320" s="223"/>
      <c r="F320" s="223"/>
    </row>
    <row r="321" spans="4:6">
      <c r="D321" s="223"/>
      <c r="E321" s="223"/>
      <c r="F321" s="223"/>
    </row>
    <row r="322" spans="4:6">
      <c r="D322" s="223"/>
      <c r="E322" s="223"/>
      <c r="F322" s="223"/>
    </row>
    <row r="323" spans="4:6">
      <c r="D323" s="223"/>
      <c r="E323" s="223"/>
      <c r="F323" s="223"/>
    </row>
    <row r="324" spans="4:6">
      <c r="D324" s="223"/>
      <c r="E324" s="223"/>
      <c r="F324" s="223"/>
    </row>
    <row r="325" spans="4:6">
      <c r="D325" s="223"/>
      <c r="E325" s="223"/>
      <c r="F325" s="223"/>
    </row>
    <row r="326" spans="4:6">
      <c r="D326" s="223"/>
      <c r="E326" s="223"/>
      <c r="F326" s="223"/>
    </row>
    <row r="327" spans="4:6">
      <c r="D327" s="223"/>
      <c r="E327" s="223"/>
      <c r="F327" s="223"/>
    </row>
    <row r="328" spans="4:6">
      <c r="D328" s="223"/>
      <c r="E328" s="223"/>
      <c r="F328" s="223"/>
    </row>
    <row r="329" spans="4:6">
      <c r="D329" s="223"/>
      <c r="E329" s="223"/>
      <c r="F329" s="223"/>
    </row>
    <row r="330" spans="4:6">
      <c r="D330" s="223"/>
      <c r="E330" s="223"/>
      <c r="F330" s="223"/>
    </row>
    <row r="331" spans="4:6">
      <c r="D331" s="223"/>
      <c r="E331" s="223"/>
      <c r="F331" s="223"/>
    </row>
    <row r="332" spans="4:6">
      <c r="D332" s="223"/>
      <c r="E332" s="223"/>
      <c r="F332" s="223"/>
    </row>
    <row r="333" spans="4:6">
      <c r="D333" s="223"/>
      <c r="E333" s="223"/>
      <c r="F333" s="223"/>
    </row>
    <row r="334" spans="4:6">
      <c r="D334" s="5"/>
      <c r="E334" s="5"/>
      <c r="F334" s="5"/>
    </row>
    <row r="335" spans="4:6">
      <c r="D335" s="5"/>
      <c r="E335" s="5"/>
      <c r="F335" s="5"/>
    </row>
    <row r="336" spans="4:6">
      <c r="D336" s="5"/>
      <c r="E336" s="5"/>
      <c r="F336" s="5"/>
    </row>
    <row r="337" spans="4:6">
      <c r="D337" s="5"/>
      <c r="E337" s="5"/>
      <c r="F337" s="5"/>
    </row>
    <row r="338" spans="4:6">
      <c r="D338" s="5"/>
      <c r="E338" s="5"/>
      <c r="F338" s="5"/>
    </row>
    <row r="339" spans="4:6">
      <c r="D339" s="5"/>
      <c r="E339" s="5"/>
      <c r="F339" s="5"/>
    </row>
    <row r="340" spans="4:6">
      <c r="D340" s="5"/>
      <c r="E340" s="5"/>
      <c r="F340" s="5"/>
    </row>
    <row r="341" spans="4:6">
      <c r="D341" s="5"/>
      <c r="E341" s="5"/>
      <c r="F341" s="5"/>
    </row>
    <row r="342" spans="4:6">
      <c r="D342" s="5"/>
      <c r="E342" s="5"/>
      <c r="F342" s="5"/>
    </row>
    <row r="343" spans="4:6">
      <c r="D343" s="5"/>
      <c r="E343" s="5"/>
      <c r="F343" s="5"/>
    </row>
    <row r="344" spans="4:6">
      <c r="D344" s="5"/>
      <c r="E344" s="5"/>
      <c r="F344" s="5"/>
    </row>
    <row r="345" spans="4:6">
      <c r="D345" s="5"/>
      <c r="E345" s="5"/>
      <c r="F345" s="5"/>
    </row>
    <row r="346" spans="4:6">
      <c r="D346" s="5"/>
      <c r="E346" s="5"/>
      <c r="F346" s="5"/>
    </row>
    <row r="347" spans="4:6">
      <c r="D347" s="5"/>
      <c r="E347" s="5"/>
      <c r="F347" s="5"/>
    </row>
    <row r="348" spans="4:6">
      <c r="D348" s="5"/>
      <c r="E348" s="5"/>
      <c r="F348" s="5"/>
    </row>
    <row r="349" spans="4:6">
      <c r="D349" s="5"/>
      <c r="E349" s="5"/>
      <c r="F349" s="5"/>
    </row>
    <row r="350" spans="4:6">
      <c r="D350" s="5"/>
      <c r="E350" s="5"/>
      <c r="F350" s="5"/>
    </row>
    <row r="351" spans="4:6">
      <c r="D351" s="5"/>
      <c r="E351" s="5"/>
      <c r="F351" s="5"/>
    </row>
    <row r="352" spans="4:6">
      <c r="D352" s="5"/>
      <c r="E352" s="5"/>
      <c r="F352" s="5"/>
    </row>
    <row r="353" spans="4:6">
      <c r="D353" s="5"/>
      <c r="E353" s="5"/>
      <c r="F353" s="5"/>
    </row>
    <row r="354" spans="4:6">
      <c r="D354" s="5"/>
      <c r="E354" s="5"/>
      <c r="F354" s="5"/>
    </row>
    <row r="355" spans="4:6">
      <c r="D355" s="5"/>
      <c r="E355" s="5"/>
      <c r="F355" s="5"/>
    </row>
    <row r="356" spans="4:6">
      <c r="D356" s="5"/>
      <c r="E356" s="5"/>
      <c r="F356" s="5"/>
    </row>
    <row r="357" spans="4:6">
      <c r="D357" s="5"/>
      <c r="E357" s="5"/>
      <c r="F357" s="5"/>
    </row>
    <row r="358" spans="4:6">
      <c r="D358" s="5"/>
      <c r="E358" s="5"/>
      <c r="F358" s="5"/>
    </row>
    <row r="359" spans="4:6">
      <c r="D359" s="5"/>
      <c r="E359" s="5"/>
      <c r="F359" s="5"/>
    </row>
    <row r="360" spans="4:6">
      <c r="D360" s="5"/>
      <c r="E360" s="5"/>
      <c r="F360" s="5"/>
    </row>
    <row r="361" spans="4:6">
      <c r="D361" s="5"/>
      <c r="E361" s="5"/>
      <c r="F361" s="5"/>
    </row>
    <row r="362" spans="4:6">
      <c r="D362" s="5"/>
      <c r="E362" s="5"/>
      <c r="F362" s="5"/>
    </row>
    <row r="363" spans="4:6">
      <c r="D363" s="5"/>
      <c r="E363" s="5"/>
      <c r="F363" s="5"/>
    </row>
    <row r="364" spans="4:6">
      <c r="D364" s="5"/>
      <c r="E364" s="5"/>
      <c r="F364" s="5"/>
    </row>
    <row r="365" spans="4:6">
      <c r="D365" s="5"/>
      <c r="E365" s="5"/>
      <c r="F365" s="5"/>
    </row>
    <row r="366" spans="4:6">
      <c r="D366" s="5"/>
      <c r="E366" s="5"/>
      <c r="F366" s="5"/>
    </row>
    <row r="367" spans="4:6">
      <c r="D367" s="5"/>
      <c r="E367" s="5"/>
      <c r="F367" s="5"/>
    </row>
    <row r="368" spans="4:6">
      <c r="D368" s="5"/>
      <c r="E368" s="5"/>
      <c r="F368" s="5"/>
    </row>
    <row r="369" spans="4:6">
      <c r="D369" s="5"/>
      <c r="E369" s="5"/>
      <c r="F369" s="5"/>
    </row>
    <row r="370" spans="4:6">
      <c r="D370" s="5"/>
      <c r="E370" s="5"/>
      <c r="F370" s="5"/>
    </row>
    <row r="371" spans="4:6">
      <c r="D371" s="5"/>
      <c r="E371" s="5"/>
      <c r="F371" s="5"/>
    </row>
    <row r="372" spans="4:6">
      <c r="D372" s="5"/>
      <c r="E372" s="5"/>
      <c r="F372" s="5"/>
    </row>
    <row r="373" spans="4:6">
      <c r="D373" s="5"/>
      <c r="E373" s="5"/>
      <c r="F373" s="5"/>
    </row>
    <row r="374" spans="4:6">
      <c r="D374" s="5"/>
      <c r="E374" s="5"/>
      <c r="F374" s="5"/>
    </row>
    <row r="375" spans="4:6">
      <c r="D375" s="5"/>
      <c r="E375" s="5"/>
      <c r="F375" s="5"/>
    </row>
    <row r="376" spans="4:6">
      <c r="D376" s="5"/>
      <c r="E376" s="5"/>
      <c r="F376" s="5"/>
    </row>
    <row r="377" spans="4:6">
      <c r="D377" s="5"/>
      <c r="E377" s="5"/>
      <c r="F377" s="5"/>
    </row>
    <row r="378" spans="4:6">
      <c r="D378" s="5"/>
      <c r="E378" s="5"/>
      <c r="F378" s="5"/>
    </row>
    <row r="379" spans="4:6">
      <c r="D379" s="5"/>
      <c r="E379" s="5"/>
      <c r="F379" s="5"/>
    </row>
    <row r="380" spans="4:6">
      <c r="D380" s="5"/>
      <c r="E380" s="5"/>
      <c r="F380" s="5"/>
    </row>
    <row r="381" spans="4:6">
      <c r="D381" s="5"/>
      <c r="E381" s="5"/>
      <c r="F381" s="5"/>
    </row>
    <row r="382" spans="4:6">
      <c r="D382" s="5"/>
      <c r="E382" s="5"/>
      <c r="F382" s="5"/>
    </row>
    <row r="383" spans="4:6">
      <c r="D383" s="5"/>
      <c r="E383" s="5"/>
      <c r="F383" s="5"/>
    </row>
    <row r="384" spans="4:6">
      <c r="D384" s="5"/>
      <c r="E384" s="5"/>
      <c r="F384" s="5"/>
    </row>
    <row r="385" spans="4:6">
      <c r="D385" s="5"/>
      <c r="E385" s="5"/>
      <c r="F385" s="5"/>
    </row>
    <row r="386" spans="4:6">
      <c r="D386" s="5"/>
      <c r="E386" s="5"/>
      <c r="F386" s="5"/>
    </row>
    <row r="387" spans="4:6">
      <c r="D387" s="5"/>
      <c r="E387" s="5"/>
      <c r="F387" s="5"/>
    </row>
    <row r="388" spans="4:6">
      <c r="D388" s="5"/>
      <c r="E388" s="5"/>
      <c r="F388" s="5"/>
    </row>
    <row r="389" spans="4:6">
      <c r="D389" s="5"/>
      <c r="E389" s="5"/>
      <c r="F389" s="5"/>
    </row>
    <row r="390" spans="4:6">
      <c r="D390" s="5"/>
      <c r="E390" s="5"/>
      <c r="F390" s="5"/>
    </row>
    <row r="391" spans="4:6">
      <c r="D391" s="5"/>
      <c r="E391" s="5"/>
      <c r="F391" s="5"/>
    </row>
    <row r="392" spans="4:6">
      <c r="D392" s="5"/>
      <c r="E392" s="5"/>
      <c r="F392" s="5"/>
    </row>
    <row r="393" spans="4:6">
      <c r="D393" s="5"/>
      <c r="E393" s="5"/>
      <c r="F393" s="5"/>
    </row>
    <row r="394" spans="4:6">
      <c r="D394" s="5"/>
      <c r="E394" s="5"/>
      <c r="F394" s="5"/>
    </row>
    <row r="395" spans="4:6">
      <c r="D395" s="5"/>
      <c r="E395" s="5"/>
      <c r="F395" s="5"/>
    </row>
    <row r="396" spans="4:6">
      <c r="D396" s="5"/>
      <c r="E396" s="5"/>
      <c r="F396" s="5"/>
    </row>
    <row r="397" spans="4:6">
      <c r="D397" s="5"/>
      <c r="E397" s="5"/>
      <c r="F397" s="5"/>
    </row>
    <row r="398" spans="4:6">
      <c r="D398" s="5"/>
      <c r="E398" s="5"/>
      <c r="F398" s="5"/>
    </row>
    <row r="399" spans="4:6">
      <c r="D399" s="5"/>
      <c r="E399" s="5"/>
      <c r="F399" s="5"/>
    </row>
    <row r="400" spans="4:6">
      <c r="D400" s="5"/>
      <c r="E400" s="5"/>
      <c r="F400" s="5"/>
    </row>
    <row r="401" spans="4:6">
      <c r="D401" s="5"/>
      <c r="E401" s="5"/>
      <c r="F401" s="5"/>
    </row>
    <row r="402" spans="4:6">
      <c r="D402" s="5"/>
      <c r="E402" s="5"/>
      <c r="F402" s="5"/>
    </row>
    <row r="403" spans="4:6">
      <c r="D403" s="5"/>
      <c r="E403" s="5"/>
      <c r="F403" s="5"/>
    </row>
    <row r="404" spans="4:6">
      <c r="D404" s="5"/>
      <c r="E404" s="5"/>
      <c r="F404" s="5"/>
    </row>
    <row r="405" spans="4:6">
      <c r="D405" s="5"/>
      <c r="E405" s="5"/>
      <c r="F405" s="5"/>
    </row>
    <row r="406" spans="4:6">
      <c r="D406" s="5"/>
      <c r="E406" s="5"/>
      <c r="F406" s="5"/>
    </row>
    <row r="407" spans="4:6">
      <c r="D407" s="5"/>
      <c r="E407" s="5"/>
      <c r="F407" s="5"/>
    </row>
    <row r="408" spans="4:6">
      <c r="D408" s="5"/>
      <c r="E408" s="5"/>
      <c r="F408" s="5"/>
    </row>
    <row r="409" spans="4:6">
      <c r="D409" s="5"/>
      <c r="E409" s="5"/>
      <c r="F409" s="5"/>
    </row>
    <row r="410" spans="4:6">
      <c r="D410" s="5"/>
      <c r="E410" s="5"/>
      <c r="F410" s="5"/>
    </row>
    <row r="411" spans="4:6">
      <c r="D411" s="5"/>
      <c r="E411" s="5"/>
      <c r="F411" s="5"/>
    </row>
    <row r="412" spans="4:6">
      <c r="D412" s="5"/>
      <c r="E412" s="5"/>
      <c r="F412" s="5"/>
    </row>
    <row r="413" spans="4:6">
      <c r="D413" s="5"/>
      <c r="E413" s="5"/>
      <c r="F413" s="5"/>
    </row>
    <row r="414" spans="4:6">
      <c r="D414" s="5"/>
      <c r="E414" s="5"/>
      <c r="F414" s="5"/>
    </row>
    <row r="415" spans="4:6">
      <c r="D415" s="5"/>
      <c r="E415" s="5"/>
      <c r="F415" s="5"/>
    </row>
    <row r="416" spans="4:6">
      <c r="D416" s="5"/>
      <c r="E416" s="5"/>
      <c r="F416" s="5"/>
    </row>
    <row r="417" spans="4:6">
      <c r="D417" s="5"/>
      <c r="E417" s="5"/>
      <c r="F417" s="5"/>
    </row>
    <row r="418" spans="4:6">
      <c r="D418" s="5"/>
      <c r="E418" s="5"/>
      <c r="F418" s="5"/>
    </row>
    <row r="419" spans="4:6">
      <c r="D419" s="5"/>
      <c r="E419" s="5"/>
      <c r="F419" s="5"/>
    </row>
    <row r="420" spans="4:6">
      <c r="D420" s="5"/>
      <c r="E420" s="5"/>
      <c r="F420" s="5"/>
    </row>
    <row r="421" spans="4:6">
      <c r="D421" s="5"/>
      <c r="E421" s="5"/>
      <c r="F421" s="5"/>
    </row>
    <row r="422" spans="4:6">
      <c r="D422" s="5"/>
      <c r="E422" s="5"/>
      <c r="F422" s="5"/>
    </row>
    <row r="423" spans="4:6">
      <c r="D423" s="5"/>
      <c r="E423" s="5"/>
      <c r="F423" s="5"/>
    </row>
    <row r="424" spans="4:6">
      <c r="D424" s="5"/>
      <c r="E424" s="5"/>
      <c r="F424" s="5"/>
    </row>
    <row r="425" spans="4:6">
      <c r="D425" s="5"/>
      <c r="E425" s="5"/>
      <c r="F425" s="5"/>
    </row>
    <row r="426" spans="4:6">
      <c r="D426" s="5"/>
      <c r="E426" s="5"/>
      <c r="F426" s="5"/>
    </row>
    <row r="427" spans="4:6">
      <c r="D427" s="5"/>
      <c r="E427" s="5"/>
      <c r="F427" s="5"/>
    </row>
    <row r="428" spans="4:6">
      <c r="D428" s="5"/>
      <c r="E428" s="5"/>
      <c r="F428" s="5"/>
    </row>
    <row r="429" spans="4:6">
      <c r="D429" s="5"/>
      <c r="E429" s="5"/>
      <c r="F429" s="5"/>
    </row>
    <row r="430" spans="4:6">
      <c r="D430" s="5"/>
      <c r="E430" s="5"/>
      <c r="F430" s="5"/>
    </row>
    <row r="431" spans="4:6">
      <c r="D431" s="5"/>
      <c r="E431" s="5"/>
      <c r="F431" s="5"/>
    </row>
    <row r="432" spans="4:6">
      <c r="D432" s="5"/>
      <c r="E432" s="5"/>
      <c r="F432" s="5"/>
    </row>
    <row r="433" spans="4:6">
      <c r="D433" s="5"/>
      <c r="E433" s="5"/>
      <c r="F433" s="5"/>
    </row>
    <row r="434" spans="4:6">
      <c r="D434" s="5"/>
      <c r="E434" s="5"/>
      <c r="F434" s="5"/>
    </row>
    <row r="435" spans="4:6">
      <c r="D435" s="5"/>
      <c r="E435" s="5"/>
      <c r="F435" s="5"/>
    </row>
    <row r="436" spans="4:6">
      <c r="D436" s="5"/>
      <c r="E436" s="5"/>
      <c r="F436" s="5"/>
    </row>
    <row r="437" spans="4:6">
      <c r="D437" s="5"/>
      <c r="E437" s="5"/>
      <c r="F437" s="5"/>
    </row>
    <row r="438" spans="4:6">
      <c r="D438" s="5"/>
      <c r="E438" s="5"/>
      <c r="F438" s="5"/>
    </row>
    <row r="439" spans="4:6">
      <c r="D439" s="5"/>
      <c r="E439" s="5"/>
      <c r="F439" s="5"/>
    </row>
    <row r="440" spans="4:6">
      <c r="D440" s="5"/>
      <c r="E440" s="5"/>
      <c r="F440" s="5"/>
    </row>
    <row r="441" spans="4:6">
      <c r="D441" s="5"/>
      <c r="E441" s="5"/>
      <c r="F441" s="5"/>
    </row>
    <row r="442" spans="4:6">
      <c r="D442" s="5"/>
      <c r="E442" s="5"/>
      <c r="F442" s="5"/>
    </row>
    <row r="443" spans="4:6">
      <c r="D443" s="5"/>
      <c r="E443" s="5"/>
      <c r="F443" s="5"/>
    </row>
    <row r="444" spans="4:6">
      <c r="D444" s="5"/>
      <c r="E444" s="5"/>
      <c r="F444" s="5"/>
    </row>
    <row r="445" spans="4:6">
      <c r="D445" s="5"/>
      <c r="E445" s="5"/>
      <c r="F445" s="5"/>
    </row>
    <row r="446" spans="4:6">
      <c r="D446" s="5"/>
      <c r="E446" s="5"/>
      <c r="F446" s="5"/>
    </row>
    <row r="447" spans="4:6">
      <c r="D447" s="5"/>
      <c r="E447" s="5"/>
      <c r="F447" s="5"/>
    </row>
    <row r="448" spans="4:6">
      <c r="D448" s="5"/>
      <c r="E448" s="5"/>
      <c r="F448" s="5"/>
    </row>
    <row r="449" spans="4:6">
      <c r="D449" s="5"/>
      <c r="E449" s="5"/>
      <c r="F449" s="5"/>
    </row>
    <row r="450" spans="4:6">
      <c r="D450" s="5"/>
      <c r="E450" s="5"/>
      <c r="F450" s="5"/>
    </row>
    <row r="451" spans="4:6">
      <c r="D451" s="5"/>
      <c r="E451" s="5"/>
      <c r="F451" s="5"/>
    </row>
    <row r="452" spans="4:6">
      <c r="D452" s="5"/>
      <c r="E452" s="5"/>
      <c r="F452" s="5"/>
    </row>
    <row r="453" spans="4:6">
      <c r="D453" s="5"/>
      <c r="E453" s="5"/>
      <c r="F453" s="5"/>
    </row>
    <row r="454" spans="4:6">
      <c r="D454" s="5"/>
      <c r="E454" s="5"/>
      <c r="F454" s="5"/>
    </row>
    <row r="455" spans="4:6">
      <c r="D455" s="5"/>
      <c r="E455" s="5"/>
      <c r="F455" s="5"/>
    </row>
    <row r="456" spans="4:6">
      <c r="D456" s="5"/>
      <c r="E456" s="5"/>
      <c r="F456" s="5"/>
    </row>
    <row r="457" spans="4:6">
      <c r="D457" s="5"/>
      <c r="E457" s="5"/>
      <c r="F457" s="5"/>
    </row>
    <row r="458" spans="4:6">
      <c r="D458" s="5"/>
      <c r="E458" s="5"/>
      <c r="F458" s="5"/>
    </row>
    <row r="459" spans="4:6">
      <c r="D459" s="5"/>
      <c r="E459" s="5"/>
      <c r="F459" s="5"/>
    </row>
    <row r="460" spans="4:6">
      <c r="D460" s="5"/>
      <c r="E460" s="5"/>
      <c r="F460" s="5"/>
    </row>
    <row r="461" spans="4:6">
      <c r="D461" s="5"/>
      <c r="E461" s="5"/>
      <c r="F461" s="5"/>
    </row>
    <row r="462" spans="4:6">
      <c r="D462" s="5"/>
      <c r="E462" s="5"/>
      <c r="F462" s="5"/>
    </row>
    <row r="463" spans="4:6">
      <c r="D463" s="5"/>
      <c r="E463" s="5"/>
      <c r="F463" s="5"/>
    </row>
    <row r="464" spans="4:6">
      <c r="D464" s="5"/>
      <c r="E464" s="5"/>
      <c r="F464" s="5"/>
    </row>
    <row r="465" spans="4:6">
      <c r="D465" s="5"/>
      <c r="E465" s="5"/>
      <c r="F465" s="5"/>
    </row>
    <row r="466" spans="4:6">
      <c r="D466" s="5"/>
      <c r="E466" s="5"/>
      <c r="F466" s="5"/>
    </row>
    <row r="467" spans="4:6">
      <c r="D467" s="5"/>
      <c r="E467" s="5"/>
      <c r="F467" s="5"/>
    </row>
    <row r="468" spans="4:6">
      <c r="D468" s="5"/>
      <c r="E468" s="5"/>
      <c r="F468" s="5"/>
    </row>
    <row r="469" spans="4:6">
      <c r="D469" s="5"/>
      <c r="E469" s="5"/>
      <c r="F469" s="5"/>
    </row>
    <row r="470" spans="4:6">
      <c r="D470" s="5"/>
      <c r="E470" s="5"/>
      <c r="F470" s="5"/>
    </row>
    <row r="471" spans="4:6">
      <c r="D471" s="5"/>
      <c r="E471" s="5"/>
      <c r="F471" s="5"/>
    </row>
    <row r="472" spans="4:6">
      <c r="D472" s="5"/>
      <c r="E472" s="5"/>
      <c r="F472" s="5"/>
    </row>
    <row r="473" spans="4:6">
      <c r="D473" s="5"/>
      <c r="E473" s="5"/>
      <c r="F473" s="5"/>
    </row>
    <row r="474" spans="4:6">
      <c r="D474" s="5"/>
      <c r="E474" s="5"/>
      <c r="F474" s="5"/>
    </row>
    <row r="475" spans="4:6">
      <c r="D475" s="5"/>
      <c r="E475" s="5"/>
      <c r="F475" s="5"/>
    </row>
    <row r="476" spans="4:6">
      <c r="D476" s="5"/>
      <c r="E476" s="5"/>
      <c r="F476" s="5"/>
    </row>
    <row r="477" spans="4:6">
      <c r="D477" s="5"/>
      <c r="E477" s="5"/>
      <c r="F477" s="5"/>
    </row>
    <row r="478" spans="4:6">
      <c r="D478" s="5"/>
      <c r="E478" s="5"/>
      <c r="F478" s="5"/>
    </row>
    <row r="479" spans="4:6">
      <c r="D479" s="5"/>
      <c r="E479" s="5"/>
      <c r="F479" s="5"/>
    </row>
    <row r="480" spans="4:6">
      <c r="D480" s="5"/>
      <c r="E480" s="5"/>
      <c r="F480" s="5"/>
    </row>
    <row r="481" spans="4:6">
      <c r="D481" s="5"/>
      <c r="E481" s="5"/>
      <c r="F481" s="5"/>
    </row>
    <row r="482" spans="4:6">
      <c r="D482" s="5"/>
      <c r="E482" s="5"/>
      <c r="F482" s="5"/>
    </row>
    <row r="483" spans="4:6">
      <c r="D483" s="5"/>
      <c r="E483" s="5"/>
      <c r="F483" s="5"/>
    </row>
    <row r="484" spans="4:6">
      <c r="D484" s="5"/>
      <c r="E484" s="5"/>
      <c r="F484" s="5"/>
    </row>
    <row r="485" spans="4:6">
      <c r="D485" s="5"/>
      <c r="E485" s="5"/>
      <c r="F485" s="5"/>
    </row>
    <row r="486" spans="4:6">
      <c r="D486" s="5"/>
      <c r="E486" s="5"/>
      <c r="F486" s="5"/>
    </row>
    <row r="487" spans="4:6">
      <c r="D487" s="5"/>
      <c r="E487" s="5"/>
      <c r="F487" s="5"/>
    </row>
    <row r="488" spans="4:6">
      <c r="D488" s="5"/>
      <c r="E488" s="5"/>
      <c r="F488" s="5"/>
    </row>
    <row r="489" spans="4:6">
      <c r="D489" s="5"/>
      <c r="E489" s="5"/>
      <c r="F489" s="5"/>
    </row>
    <row r="490" spans="4:6">
      <c r="D490" s="5"/>
      <c r="E490" s="5"/>
      <c r="F490" s="5"/>
    </row>
    <row r="491" spans="4:6">
      <c r="D491" s="5"/>
      <c r="E491" s="5"/>
      <c r="F491" s="5"/>
    </row>
    <row r="492" spans="4:6">
      <c r="D492" s="5"/>
      <c r="E492" s="5"/>
      <c r="F492" s="5"/>
    </row>
    <row r="493" spans="4:6">
      <c r="D493" s="5"/>
      <c r="E493" s="5"/>
      <c r="F493" s="5"/>
    </row>
    <row r="494" spans="4:6">
      <c r="D494" s="5"/>
      <c r="E494" s="5"/>
      <c r="F494" s="5"/>
    </row>
    <row r="495" spans="4:6">
      <c r="D495" s="5"/>
      <c r="E495" s="5"/>
      <c r="F495" s="5"/>
    </row>
    <row r="496" spans="4:6">
      <c r="D496" s="5"/>
      <c r="E496" s="5"/>
      <c r="F496" s="5"/>
    </row>
    <row r="497" spans="4:6">
      <c r="D497" s="5"/>
      <c r="E497" s="5"/>
      <c r="F497" s="5"/>
    </row>
    <row r="498" spans="4:6">
      <c r="D498" s="5"/>
      <c r="E498" s="5"/>
      <c r="F498" s="5"/>
    </row>
    <row r="499" spans="4:6">
      <c r="D499" s="5"/>
      <c r="E499" s="5"/>
      <c r="F499" s="5"/>
    </row>
    <row r="500" spans="4:6">
      <c r="D500" s="5"/>
      <c r="E500" s="5"/>
      <c r="F500" s="5"/>
    </row>
    <row r="501" spans="4:6">
      <c r="D501" s="5"/>
      <c r="E501" s="5"/>
      <c r="F501" s="5"/>
    </row>
    <row r="502" spans="4:6">
      <c r="D502" s="5"/>
      <c r="E502" s="5"/>
      <c r="F502" s="5"/>
    </row>
    <row r="503" spans="4:6">
      <c r="D503" s="5"/>
      <c r="E503" s="5"/>
      <c r="F503" s="5"/>
    </row>
  </sheetData>
  <mergeCells count="1">
    <mergeCell ref="A15:G15"/>
  </mergeCells>
  <pageMargins left="0.9055118110236221" right="0.31496062992125984" top="0.78740157480314965" bottom="0.59055118110236227" header="0.31496062992125984" footer="0.31496062992125984"/>
  <pageSetup paperSize="9" scale="85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B5F90-2C80-4C82-A76F-F567FFA475C6}">
  <dimension ref="A2:G589"/>
  <sheetViews>
    <sheetView topLeftCell="A82" workbookViewId="0">
      <selection activeCell="F79" sqref="F79"/>
    </sheetView>
  </sheetViews>
  <sheetFormatPr defaultColWidth="11.42578125" defaultRowHeight="12.75"/>
  <cols>
    <col min="1" max="1" width="7" customWidth="1"/>
    <col min="2" max="2" width="36.7109375" customWidth="1"/>
    <col min="3" max="3" width="10.28515625" bestFit="1" customWidth="1"/>
    <col min="4" max="4" width="13" customWidth="1"/>
    <col min="5" max="5" width="11.85546875" customWidth="1"/>
    <col min="6" max="6" width="10" customWidth="1"/>
    <col min="7" max="7" width="9.7109375" customWidth="1"/>
    <col min="8" max="8" width="13" customWidth="1"/>
  </cols>
  <sheetData>
    <row r="2" spans="1:7">
      <c r="C2" s="94" t="s">
        <v>288</v>
      </c>
    </row>
    <row r="3" spans="1:7">
      <c r="C3" s="94"/>
    </row>
    <row r="4" spans="1:7">
      <c r="A4" s="572" t="s">
        <v>289</v>
      </c>
      <c r="B4" s="573"/>
      <c r="C4" s="573"/>
      <c r="D4" s="573"/>
      <c r="E4" s="573"/>
      <c r="F4" s="573"/>
      <c r="G4" s="573"/>
    </row>
    <row r="6" spans="1:7">
      <c r="A6" s="17" t="s">
        <v>290</v>
      </c>
    </row>
    <row r="8" spans="1:7">
      <c r="A8" s="17" t="s">
        <v>365</v>
      </c>
    </row>
    <row r="9" spans="1:7">
      <c r="A9" s="17"/>
    </row>
    <row r="10" spans="1:7">
      <c r="A10" s="17" t="s">
        <v>292</v>
      </c>
    </row>
    <row r="11" spans="1:7">
      <c r="A11" s="17"/>
    </row>
    <row r="12" spans="1:7">
      <c r="A12" s="45"/>
      <c r="B12" s="45" t="s">
        <v>293</v>
      </c>
      <c r="C12" s="45" t="s">
        <v>294</v>
      </c>
      <c r="D12" s="45" t="s">
        <v>295</v>
      </c>
      <c r="E12" s="45" t="s">
        <v>296</v>
      </c>
      <c r="F12" s="29" t="s">
        <v>297</v>
      </c>
      <c r="G12" s="29" t="s">
        <v>298</v>
      </c>
    </row>
    <row r="13" spans="1:7">
      <c r="A13" s="90" t="s">
        <v>299</v>
      </c>
      <c r="B13" s="90" t="s">
        <v>300</v>
      </c>
      <c r="C13" s="90" t="s">
        <v>29</v>
      </c>
      <c r="D13" s="90" t="s">
        <v>301</v>
      </c>
      <c r="E13" s="90" t="s">
        <v>302</v>
      </c>
      <c r="F13" s="90" t="s">
        <v>29</v>
      </c>
      <c r="G13" s="90" t="s">
        <v>303</v>
      </c>
    </row>
    <row r="14" spans="1:7">
      <c r="A14" s="46"/>
      <c r="B14" s="28"/>
      <c r="C14" s="28"/>
      <c r="D14" s="28" t="s">
        <v>29</v>
      </c>
      <c r="E14" s="28"/>
      <c r="F14" s="28"/>
      <c r="G14" s="28"/>
    </row>
    <row r="15" spans="1:7" ht="24.75" customHeight="1">
      <c r="A15" s="28"/>
      <c r="B15" s="46" t="s">
        <v>366</v>
      </c>
      <c r="C15" s="92"/>
      <c r="D15" s="92"/>
      <c r="E15" s="92"/>
      <c r="F15" s="92"/>
      <c r="G15" s="92"/>
    </row>
    <row r="16" spans="1:7" ht="24.75" customHeight="1">
      <c r="A16" s="47">
        <v>1</v>
      </c>
      <c r="B16" s="26" t="s">
        <v>367</v>
      </c>
      <c r="C16" s="32">
        <v>370</v>
      </c>
      <c r="D16" s="32">
        <v>7</v>
      </c>
      <c r="E16" s="32">
        <f>C16*D16</f>
        <v>2590</v>
      </c>
      <c r="F16" s="48">
        <v>0.04</v>
      </c>
      <c r="G16" s="48">
        <f>E16*F16</f>
        <v>103.60000000000001</v>
      </c>
    </row>
    <row r="17" spans="1:7" ht="24.75" customHeight="1">
      <c r="A17" s="47">
        <v>2</v>
      </c>
      <c r="B17" s="26" t="s">
        <v>368</v>
      </c>
      <c r="C17" s="32">
        <v>363</v>
      </c>
      <c r="D17" s="32">
        <v>7</v>
      </c>
      <c r="E17" s="32">
        <f t="shared" ref="E17:E25" si="0">C17*D17</f>
        <v>2541</v>
      </c>
      <c r="F17" s="32">
        <v>0.04</v>
      </c>
      <c r="G17" s="32">
        <f t="shared" ref="G17:G25" si="1">E17*F17</f>
        <v>101.64</v>
      </c>
    </row>
    <row r="18" spans="1:7" ht="24.75" customHeight="1">
      <c r="A18" s="47">
        <v>3</v>
      </c>
      <c r="B18" s="26" t="s">
        <v>369</v>
      </c>
      <c r="C18" s="32">
        <v>145</v>
      </c>
      <c r="D18" s="32">
        <v>6</v>
      </c>
      <c r="E18" s="32">
        <f t="shared" si="0"/>
        <v>870</v>
      </c>
      <c r="F18" s="32">
        <v>0.04</v>
      </c>
      <c r="G18" s="32">
        <f t="shared" si="1"/>
        <v>34.800000000000004</v>
      </c>
    </row>
    <row r="19" spans="1:7" ht="24.75" customHeight="1">
      <c r="A19" s="47">
        <v>4</v>
      </c>
      <c r="B19" s="26" t="s">
        <v>370</v>
      </c>
      <c r="C19" s="32">
        <v>172</v>
      </c>
      <c r="D19" s="32">
        <v>8</v>
      </c>
      <c r="E19" s="32">
        <f t="shared" si="0"/>
        <v>1376</v>
      </c>
      <c r="F19" s="32">
        <v>0.04</v>
      </c>
      <c r="G19" s="32">
        <f t="shared" si="1"/>
        <v>55.04</v>
      </c>
    </row>
    <row r="20" spans="1:7" ht="24.75" customHeight="1">
      <c r="A20" s="47">
        <v>5</v>
      </c>
      <c r="B20" s="26" t="s">
        <v>371</v>
      </c>
      <c r="C20" s="32">
        <v>227</v>
      </c>
      <c r="D20" s="32">
        <v>7</v>
      </c>
      <c r="E20" s="32">
        <f t="shared" si="0"/>
        <v>1589</v>
      </c>
      <c r="F20" s="32">
        <v>0.04</v>
      </c>
      <c r="G20" s="32">
        <f t="shared" si="1"/>
        <v>63.56</v>
      </c>
    </row>
    <row r="21" spans="1:7" ht="24.75" customHeight="1">
      <c r="A21" s="47">
        <v>6</v>
      </c>
      <c r="B21" s="26" t="s">
        <v>372</v>
      </c>
      <c r="C21" s="32">
        <v>245</v>
      </c>
      <c r="D21" s="32">
        <v>7</v>
      </c>
      <c r="E21" s="32">
        <f t="shared" si="0"/>
        <v>1715</v>
      </c>
      <c r="F21" s="32">
        <v>0.04</v>
      </c>
      <c r="G21" s="32">
        <f t="shared" si="1"/>
        <v>68.600000000000009</v>
      </c>
    </row>
    <row r="22" spans="1:7" ht="24.75" customHeight="1">
      <c r="A22" s="47">
        <v>7</v>
      </c>
      <c r="B22" s="26" t="s">
        <v>373</v>
      </c>
      <c r="C22" s="32">
        <v>105</v>
      </c>
      <c r="D22" s="32">
        <v>7</v>
      </c>
      <c r="E22" s="32">
        <f t="shared" si="0"/>
        <v>735</v>
      </c>
      <c r="F22" s="32">
        <v>0.04</v>
      </c>
      <c r="G22" s="32">
        <f t="shared" si="1"/>
        <v>29.400000000000002</v>
      </c>
    </row>
    <row r="23" spans="1:7" ht="24.75" customHeight="1">
      <c r="A23" s="47">
        <v>8</v>
      </c>
      <c r="B23" s="26" t="s">
        <v>374</v>
      </c>
      <c r="C23" s="32">
        <v>97</v>
      </c>
      <c r="D23" s="32">
        <v>5</v>
      </c>
      <c r="E23" s="32">
        <f t="shared" si="0"/>
        <v>485</v>
      </c>
      <c r="F23" s="32">
        <v>0.04</v>
      </c>
      <c r="G23" s="32">
        <f t="shared" si="1"/>
        <v>19.400000000000002</v>
      </c>
    </row>
    <row r="24" spans="1:7" ht="24.75" customHeight="1">
      <c r="A24" s="47">
        <v>9</v>
      </c>
      <c r="B24" s="26" t="s">
        <v>375</v>
      </c>
      <c r="C24" s="32">
        <v>157</v>
      </c>
      <c r="D24" s="32">
        <v>8</v>
      </c>
      <c r="E24" s="32">
        <f t="shared" si="0"/>
        <v>1256</v>
      </c>
      <c r="F24" s="32">
        <v>0.04</v>
      </c>
      <c r="G24" s="32">
        <f t="shared" si="1"/>
        <v>50.24</v>
      </c>
    </row>
    <row r="25" spans="1:7" ht="24.75" customHeight="1">
      <c r="A25" s="47">
        <v>10</v>
      </c>
      <c r="B25" s="26" t="s">
        <v>376</v>
      </c>
      <c r="C25" s="32">
        <v>82</v>
      </c>
      <c r="D25" s="32">
        <v>8</v>
      </c>
      <c r="E25" s="32">
        <f t="shared" si="0"/>
        <v>656</v>
      </c>
      <c r="F25" s="32">
        <v>0.04</v>
      </c>
      <c r="G25" s="32">
        <f t="shared" si="1"/>
        <v>26.240000000000002</v>
      </c>
    </row>
    <row r="26" spans="1:7" ht="24.75" customHeight="1">
      <c r="A26" s="47"/>
      <c r="B26" s="46" t="s">
        <v>377</v>
      </c>
      <c r="C26" s="92"/>
      <c r="D26" s="92"/>
      <c r="E26" s="92"/>
      <c r="F26" s="92"/>
      <c r="G26" s="92"/>
    </row>
    <row r="27" spans="1:7" ht="24.75" customHeight="1">
      <c r="A27" s="47">
        <v>11</v>
      </c>
      <c r="B27" s="26" t="s">
        <v>378</v>
      </c>
      <c r="C27" s="32">
        <v>257</v>
      </c>
      <c r="D27" s="32">
        <v>7</v>
      </c>
      <c r="E27" s="32">
        <f t="shared" ref="E27:E32" si="2">C27*D27</f>
        <v>1799</v>
      </c>
      <c r="F27" s="32">
        <v>0.04</v>
      </c>
      <c r="G27" s="32">
        <f t="shared" ref="G27:G32" si="3">E27*F27</f>
        <v>71.960000000000008</v>
      </c>
    </row>
    <row r="28" spans="1:7" ht="24.75" customHeight="1">
      <c r="A28" s="47">
        <v>12</v>
      </c>
      <c r="B28" s="26" t="s">
        <v>379</v>
      </c>
      <c r="C28" s="32">
        <v>257</v>
      </c>
      <c r="D28" s="32">
        <v>7</v>
      </c>
      <c r="E28" s="32">
        <f t="shared" si="2"/>
        <v>1799</v>
      </c>
      <c r="F28" s="32">
        <v>0.04</v>
      </c>
      <c r="G28" s="32">
        <f t="shared" si="3"/>
        <v>71.960000000000008</v>
      </c>
    </row>
    <row r="29" spans="1:7" ht="24.75" customHeight="1">
      <c r="A29" s="47">
        <v>13</v>
      </c>
      <c r="B29" s="26" t="s">
        <v>380</v>
      </c>
      <c r="C29" s="32">
        <v>467</v>
      </c>
      <c r="D29" s="32">
        <v>7</v>
      </c>
      <c r="E29" s="32">
        <f t="shared" si="2"/>
        <v>3269</v>
      </c>
      <c r="F29" s="32">
        <v>0.04</v>
      </c>
      <c r="G29" s="32">
        <f t="shared" si="3"/>
        <v>130.76</v>
      </c>
    </row>
    <row r="30" spans="1:7" ht="24.75" customHeight="1">
      <c r="A30" s="47">
        <v>14</v>
      </c>
      <c r="B30" s="26" t="s">
        <v>381</v>
      </c>
      <c r="C30" s="32">
        <v>257</v>
      </c>
      <c r="D30" s="32">
        <v>7</v>
      </c>
      <c r="E30" s="32">
        <f t="shared" si="2"/>
        <v>1799</v>
      </c>
      <c r="F30" s="32">
        <v>0.04</v>
      </c>
      <c r="G30" s="32">
        <f t="shared" si="3"/>
        <v>71.960000000000008</v>
      </c>
    </row>
    <row r="31" spans="1:7" ht="24.75" customHeight="1">
      <c r="A31" s="47">
        <v>15</v>
      </c>
      <c r="B31" s="26" t="s">
        <v>382</v>
      </c>
      <c r="C31" s="32">
        <v>438</v>
      </c>
      <c r="D31" s="32">
        <v>7</v>
      </c>
      <c r="E31" s="32">
        <f t="shared" si="2"/>
        <v>3066</v>
      </c>
      <c r="F31" s="32">
        <v>0.04</v>
      </c>
      <c r="G31" s="32">
        <f t="shared" si="3"/>
        <v>122.64</v>
      </c>
    </row>
    <row r="32" spans="1:7" ht="24.75" customHeight="1">
      <c r="A32" s="47">
        <v>16</v>
      </c>
      <c r="B32" s="26" t="s">
        <v>383</v>
      </c>
      <c r="C32" s="32">
        <v>221</v>
      </c>
      <c r="D32" s="32">
        <v>7</v>
      </c>
      <c r="E32" s="32">
        <f t="shared" si="2"/>
        <v>1547</v>
      </c>
      <c r="F32" s="32">
        <v>0.04</v>
      </c>
      <c r="G32" s="32">
        <f t="shared" si="3"/>
        <v>61.88</v>
      </c>
    </row>
    <row r="33" spans="1:7" ht="12.75" customHeight="1">
      <c r="A33" s="44"/>
      <c r="B33" s="86"/>
      <c r="C33" s="33"/>
      <c r="D33" s="33"/>
      <c r="E33" s="33"/>
      <c r="F33" s="33"/>
      <c r="G33" s="33"/>
    </row>
    <row r="34" spans="1:7" ht="12.75" customHeight="1">
      <c r="A34" s="44"/>
      <c r="B34" s="86"/>
      <c r="C34" s="33"/>
      <c r="D34" s="33"/>
      <c r="E34" s="33"/>
      <c r="F34" s="33"/>
      <c r="G34" s="33"/>
    </row>
    <row r="35" spans="1:7" ht="12.75" customHeight="1">
      <c r="A35" s="44"/>
      <c r="B35" s="86"/>
      <c r="C35" s="33"/>
      <c r="D35" s="33"/>
      <c r="E35" s="33"/>
      <c r="F35" s="33"/>
      <c r="G35" s="33"/>
    </row>
    <row r="36" spans="1:7" ht="12.75" customHeight="1">
      <c r="A36" s="44"/>
      <c r="B36" s="86"/>
      <c r="C36" s="33"/>
      <c r="D36" s="33"/>
      <c r="E36" s="33"/>
      <c r="F36" s="33"/>
      <c r="G36" s="33"/>
    </row>
    <row r="37" spans="1:7" ht="12.75" customHeight="1">
      <c r="A37" s="44"/>
      <c r="B37" s="86"/>
      <c r="C37" s="33"/>
      <c r="D37" s="33"/>
      <c r="E37" s="33"/>
      <c r="F37" s="33"/>
      <c r="G37" s="33"/>
    </row>
    <row r="38" spans="1:7" ht="12.75" customHeight="1">
      <c r="A38" s="44"/>
      <c r="B38" s="86"/>
      <c r="C38" s="33"/>
      <c r="D38" s="33"/>
      <c r="E38" s="33"/>
      <c r="F38" s="33"/>
      <c r="G38" s="33"/>
    </row>
    <row r="39" spans="1:7" ht="24.75" customHeight="1">
      <c r="A39" s="47"/>
      <c r="B39" s="91" t="s">
        <v>304</v>
      </c>
      <c r="C39" s="93"/>
      <c r="D39" s="93"/>
      <c r="E39" s="93"/>
      <c r="F39" s="93"/>
      <c r="G39" s="93"/>
    </row>
    <row r="40" spans="1:7" ht="25.5">
      <c r="A40" s="47">
        <v>17</v>
      </c>
      <c r="B40" s="26" t="s">
        <v>305</v>
      </c>
      <c r="C40" s="32">
        <v>450</v>
      </c>
      <c r="D40" s="32">
        <v>6</v>
      </c>
      <c r="E40" s="32">
        <f>C40*D40</f>
        <v>2700</v>
      </c>
      <c r="F40" s="32">
        <v>0.03</v>
      </c>
      <c r="G40" s="32">
        <f t="shared" ref="G40:G50" si="4">E40*F40</f>
        <v>81</v>
      </c>
    </row>
    <row r="41" spans="1:7" ht="25.5">
      <c r="A41" s="47">
        <v>18</v>
      </c>
      <c r="B41" s="26" t="s">
        <v>306</v>
      </c>
      <c r="C41" s="32">
        <v>64</v>
      </c>
      <c r="D41" s="32">
        <v>6</v>
      </c>
      <c r="E41" s="32">
        <f t="shared" ref="E41:E50" si="5">C41*D41</f>
        <v>384</v>
      </c>
      <c r="F41" s="32">
        <v>0.03</v>
      </c>
      <c r="G41" s="32">
        <f t="shared" si="4"/>
        <v>11.52</v>
      </c>
    </row>
    <row r="42" spans="1:7" ht="25.5">
      <c r="A42" s="47">
        <v>19</v>
      </c>
      <c r="B42" s="26" t="s">
        <v>307</v>
      </c>
      <c r="C42" s="32">
        <v>265</v>
      </c>
      <c r="D42" s="32">
        <v>6</v>
      </c>
      <c r="E42" s="32">
        <f t="shared" si="5"/>
        <v>1590</v>
      </c>
      <c r="F42" s="32">
        <v>0.03</v>
      </c>
      <c r="G42" s="32">
        <f t="shared" si="4"/>
        <v>47.699999999999996</v>
      </c>
    </row>
    <row r="43" spans="1:7" ht="25.5">
      <c r="A43" s="47">
        <v>20</v>
      </c>
      <c r="B43" s="26" t="s">
        <v>308</v>
      </c>
      <c r="C43" s="32">
        <v>215</v>
      </c>
      <c r="D43" s="32">
        <v>6</v>
      </c>
      <c r="E43" s="32">
        <f t="shared" si="5"/>
        <v>1290</v>
      </c>
      <c r="F43" s="32">
        <v>0.03</v>
      </c>
      <c r="G43" s="32">
        <f t="shared" si="4"/>
        <v>38.699999999999996</v>
      </c>
    </row>
    <row r="44" spans="1:7" ht="25.5">
      <c r="A44" s="47">
        <v>21</v>
      </c>
      <c r="B44" s="26" t="s">
        <v>309</v>
      </c>
      <c r="C44" s="32">
        <v>168</v>
      </c>
      <c r="D44" s="32">
        <v>6</v>
      </c>
      <c r="E44" s="32">
        <f t="shared" si="5"/>
        <v>1008</v>
      </c>
      <c r="F44" s="32">
        <v>0.03</v>
      </c>
      <c r="G44" s="32">
        <f t="shared" si="4"/>
        <v>30.24</v>
      </c>
    </row>
    <row r="45" spans="1:7" ht="25.5">
      <c r="A45" s="47">
        <v>22</v>
      </c>
      <c r="B45" s="26" t="s">
        <v>310</v>
      </c>
      <c r="C45" s="32">
        <v>70</v>
      </c>
      <c r="D45" s="32">
        <v>6</v>
      </c>
      <c r="E45" s="32">
        <f t="shared" si="5"/>
        <v>420</v>
      </c>
      <c r="F45" s="32">
        <v>0.03</v>
      </c>
      <c r="G45" s="32">
        <f t="shared" si="4"/>
        <v>12.6</v>
      </c>
    </row>
    <row r="46" spans="1:7" ht="25.5">
      <c r="A46" s="47">
        <v>23</v>
      </c>
      <c r="B46" s="26" t="s">
        <v>311</v>
      </c>
      <c r="C46" s="32">
        <v>81</v>
      </c>
      <c r="D46" s="32">
        <v>5</v>
      </c>
      <c r="E46" s="32">
        <f t="shared" si="5"/>
        <v>405</v>
      </c>
      <c r="F46" s="32">
        <v>0.03</v>
      </c>
      <c r="G46" s="32">
        <f t="shared" si="4"/>
        <v>12.15</v>
      </c>
    </row>
    <row r="47" spans="1:7" ht="25.5">
      <c r="A47" s="47">
        <v>24</v>
      </c>
      <c r="B47" s="26" t="s">
        <v>312</v>
      </c>
      <c r="C47" s="32">
        <v>85</v>
      </c>
      <c r="D47" s="32">
        <v>6</v>
      </c>
      <c r="E47" s="32">
        <f t="shared" si="5"/>
        <v>510</v>
      </c>
      <c r="F47" s="32">
        <v>0.03</v>
      </c>
      <c r="G47" s="32">
        <f t="shared" si="4"/>
        <v>15.299999999999999</v>
      </c>
    </row>
    <row r="48" spans="1:7" ht="25.5">
      <c r="A48" s="47">
        <v>25</v>
      </c>
      <c r="B48" s="26" t="s">
        <v>313</v>
      </c>
      <c r="C48" s="32">
        <f>88+51+36+43</f>
        <v>218</v>
      </c>
      <c r="D48" s="32">
        <v>6</v>
      </c>
      <c r="E48" s="32">
        <f t="shared" si="5"/>
        <v>1308</v>
      </c>
      <c r="F48" s="32">
        <v>0.03</v>
      </c>
      <c r="G48" s="32">
        <f>E48*F48</f>
        <v>39.24</v>
      </c>
    </row>
    <row r="49" spans="1:7" ht="25.5">
      <c r="A49" s="47">
        <v>26</v>
      </c>
      <c r="B49" s="26" t="s">
        <v>384</v>
      </c>
      <c r="C49" s="32">
        <v>89</v>
      </c>
      <c r="D49" s="32">
        <v>6</v>
      </c>
      <c r="E49" s="32">
        <f t="shared" si="5"/>
        <v>534</v>
      </c>
      <c r="F49" s="32">
        <v>0.03</v>
      </c>
      <c r="G49" s="32">
        <f t="shared" si="4"/>
        <v>16.02</v>
      </c>
    </row>
    <row r="50" spans="1:7" ht="25.5">
      <c r="A50" s="47">
        <v>27</v>
      </c>
      <c r="B50" s="26" t="s">
        <v>315</v>
      </c>
      <c r="C50" s="32">
        <v>88</v>
      </c>
      <c r="D50" s="32">
        <v>6</v>
      </c>
      <c r="E50" s="32">
        <f t="shared" si="5"/>
        <v>528</v>
      </c>
      <c r="F50" s="32">
        <v>0.03</v>
      </c>
      <c r="G50" s="32">
        <f t="shared" si="4"/>
        <v>15.84</v>
      </c>
    </row>
    <row r="51" spans="1:7">
      <c r="A51" s="47"/>
      <c r="B51" s="26"/>
      <c r="C51" s="32"/>
      <c r="D51" s="32"/>
      <c r="E51" s="32"/>
      <c r="F51" s="32"/>
      <c r="G51" s="32"/>
    </row>
    <row r="52" spans="1:7">
      <c r="A52" s="47"/>
      <c r="B52" s="26"/>
      <c r="C52" s="32"/>
      <c r="D52" s="32"/>
      <c r="E52" s="32"/>
      <c r="F52" s="32"/>
      <c r="G52" s="32"/>
    </row>
    <row r="53" spans="1:7">
      <c r="A53" s="47"/>
      <c r="B53" s="26"/>
      <c r="C53" s="32"/>
      <c r="D53" s="32"/>
      <c r="E53" s="32"/>
      <c r="F53" s="32"/>
      <c r="G53" s="32"/>
    </row>
    <row r="54" spans="1:7">
      <c r="A54" s="47"/>
      <c r="B54" s="26"/>
      <c r="C54" s="32"/>
      <c r="D54" s="32"/>
      <c r="E54" s="32"/>
      <c r="F54" s="32"/>
      <c r="G54" s="32"/>
    </row>
    <row r="55" spans="1:7">
      <c r="A55" s="49"/>
      <c r="B55" s="50" t="s">
        <v>41</v>
      </c>
      <c r="C55" s="32">
        <f>SUM(C16:C54)</f>
        <v>5653</v>
      </c>
      <c r="D55" s="32">
        <f>SUM(D16:D54)/27</f>
        <v>6.5555555555555554</v>
      </c>
      <c r="E55" s="32">
        <f>SUM(E16:E54)</f>
        <v>37769</v>
      </c>
      <c r="F55" s="32">
        <v>0.04</v>
      </c>
      <c r="G55" s="51">
        <f>SUM(G16:G54)</f>
        <v>1403.99</v>
      </c>
    </row>
    <row r="56" spans="1:7">
      <c r="A56" s="34"/>
      <c r="B56" s="18"/>
      <c r="C56" s="33"/>
      <c r="D56" s="33"/>
      <c r="E56" s="33"/>
      <c r="F56" s="33"/>
      <c r="G56" s="221"/>
    </row>
    <row r="57" spans="1:7">
      <c r="A57" s="18"/>
    </row>
    <row r="58" spans="1:7">
      <c r="A58" s="18" t="s">
        <v>316</v>
      </c>
      <c r="B58" t="s">
        <v>65</v>
      </c>
    </row>
    <row r="59" spans="1:7">
      <c r="A59" s="18"/>
      <c r="B59" s="18" t="s">
        <v>385</v>
      </c>
      <c r="F59" s="661">
        <v>18</v>
      </c>
      <c r="G59" s="94" t="s">
        <v>32</v>
      </c>
    </row>
    <row r="60" spans="1:7">
      <c r="A60" s="18"/>
      <c r="F60" s="5"/>
      <c r="G60" s="6"/>
    </row>
    <row r="61" spans="1:7">
      <c r="A61" s="18"/>
      <c r="B61" t="s">
        <v>386</v>
      </c>
      <c r="F61" s="5"/>
      <c r="G61" s="6"/>
    </row>
    <row r="62" spans="1:7">
      <c r="A62" s="18"/>
      <c r="B62" s="18" t="s">
        <v>319</v>
      </c>
      <c r="C62" s="18"/>
      <c r="F62" s="661">
        <v>0</v>
      </c>
      <c r="G62" s="94" t="s">
        <v>32</v>
      </c>
    </row>
    <row r="63" spans="1:7">
      <c r="A63" s="18"/>
      <c r="F63" s="5"/>
      <c r="G63" s="6"/>
    </row>
    <row r="64" spans="1:7">
      <c r="A64" s="18"/>
      <c r="B64" t="s">
        <v>387</v>
      </c>
      <c r="F64" s="7"/>
      <c r="G64" s="6"/>
    </row>
    <row r="65" spans="1:7">
      <c r="A65" s="18"/>
      <c r="B65" t="s">
        <v>388</v>
      </c>
      <c r="F65" s="7">
        <f>C55</f>
        <v>5653</v>
      </c>
      <c r="G65" s="6" t="s">
        <v>24</v>
      </c>
    </row>
    <row r="66" spans="1:7">
      <c r="A66" s="18"/>
      <c r="B66" t="s">
        <v>389</v>
      </c>
      <c r="C66" s="18" t="s">
        <v>390</v>
      </c>
      <c r="F66" s="15">
        <f>F65/20*7</f>
        <v>1978.5499999999997</v>
      </c>
      <c r="G66" s="16" t="s">
        <v>24</v>
      </c>
    </row>
    <row r="67" spans="1:7">
      <c r="A67" s="18"/>
      <c r="F67" s="226">
        <f>SUM(F65:F66)</f>
        <v>7631.5499999999993</v>
      </c>
      <c r="G67" s="94" t="s">
        <v>24</v>
      </c>
    </row>
    <row r="68" spans="1:7">
      <c r="A68" s="18"/>
      <c r="F68" s="226"/>
      <c r="G68" s="94"/>
    </row>
    <row r="69" spans="1:7">
      <c r="A69" s="18"/>
      <c r="G69" s="6"/>
    </row>
    <row r="70" spans="1:7">
      <c r="A70" s="18" t="s">
        <v>324</v>
      </c>
      <c r="B70" t="s">
        <v>74</v>
      </c>
      <c r="G70" s="6"/>
    </row>
    <row r="71" spans="1:7">
      <c r="A71" s="18"/>
      <c r="B71" s="18" t="s">
        <v>391</v>
      </c>
      <c r="C71" s="5"/>
      <c r="F71" s="226">
        <f>F65*2</f>
        <v>11306</v>
      </c>
      <c r="G71" s="94" t="s">
        <v>24</v>
      </c>
    </row>
    <row r="72" spans="1:7">
      <c r="A72" s="18"/>
      <c r="B72" s="18" t="s">
        <v>392</v>
      </c>
      <c r="C72" s="5"/>
      <c r="F72" s="226">
        <f>15*1*21</f>
        <v>315</v>
      </c>
      <c r="G72" s="94" t="s">
        <v>24</v>
      </c>
    </row>
    <row r="73" spans="1:7">
      <c r="A73" s="18"/>
      <c r="B73" s="18"/>
      <c r="C73" s="5"/>
      <c r="F73" s="226"/>
      <c r="G73" s="94"/>
    </row>
    <row r="74" spans="1:7">
      <c r="A74" s="18" t="s">
        <v>329</v>
      </c>
      <c r="B74" s="18" t="s">
        <v>393</v>
      </c>
      <c r="G74" s="6"/>
    </row>
    <row r="75" spans="1:7">
      <c r="A75" s="18"/>
      <c r="B75" s="18" t="s">
        <v>394</v>
      </c>
      <c r="C75" s="5"/>
      <c r="F75" s="226">
        <f>F65*2</f>
        <v>11306</v>
      </c>
      <c r="G75" s="94" t="s">
        <v>24</v>
      </c>
    </row>
    <row r="76" spans="1:7">
      <c r="A76" s="18"/>
      <c r="B76" s="18"/>
      <c r="C76" s="5"/>
      <c r="F76" s="226"/>
      <c r="G76" s="94"/>
    </row>
    <row r="77" spans="1:7">
      <c r="A77" s="18"/>
      <c r="G77" s="6"/>
    </row>
    <row r="78" spans="1:7">
      <c r="A78" s="18" t="s">
        <v>333</v>
      </c>
      <c r="B78" t="s">
        <v>334</v>
      </c>
      <c r="G78" s="6"/>
    </row>
    <row r="79" spans="1:7">
      <c r="A79" s="27" t="s">
        <v>395</v>
      </c>
      <c r="F79" s="229">
        <f>C55*7*0.15*1.2</f>
        <v>7122.78</v>
      </c>
      <c r="G79" s="94" t="s">
        <v>336</v>
      </c>
    </row>
    <row r="80" spans="1:7">
      <c r="A80" s="27" t="s">
        <v>396</v>
      </c>
      <c r="F80" s="229">
        <f>C55*7*0.15*1.2</f>
        <v>7122.78</v>
      </c>
      <c r="G80" s="94" t="s">
        <v>336</v>
      </c>
    </row>
    <row r="81" spans="1:7">
      <c r="A81" s="18" t="s">
        <v>397</v>
      </c>
      <c r="F81" s="229">
        <f>C55*7*0.15*1.2</f>
        <v>7122.78</v>
      </c>
      <c r="G81" s="94" t="s">
        <v>336</v>
      </c>
    </row>
    <row r="82" spans="1:7">
      <c r="A82" s="18"/>
      <c r="G82" s="6"/>
    </row>
    <row r="83" spans="1:7">
      <c r="A83" s="18"/>
      <c r="G83" s="6"/>
    </row>
    <row r="84" spans="1:7">
      <c r="A84" s="18" t="s">
        <v>344</v>
      </c>
      <c r="B84" t="s">
        <v>186</v>
      </c>
      <c r="G84" s="6"/>
    </row>
    <row r="85" spans="1:7">
      <c r="A85" s="18"/>
      <c r="B85" s="18" t="s">
        <v>398</v>
      </c>
    </row>
    <row r="86" spans="1:7">
      <c r="A86" s="234"/>
      <c r="B86" s="18" t="s">
        <v>399</v>
      </c>
      <c r="E86" s="233">
        <f>G55*2.45</f>
        <v>3439.7755000000002</v>
      </c>
      <c r="F86" s="17" t="s">
        <v>346</v>
      </c>
    </row>
    <row r="87" spans="1:7">
      <c r="A87" s="234"/>
      <c r="B87" s="18"/>
      <c r="E87" s="233"/>
      <c r="F87" s="17"/>
    </row>
    <row r="88" spans="1:7">
      <c r="A88" s="234"/>
      <c r="B88" s="18" t="s">
        <v>400</v>
      </c>
      <c r="E88" s="233"/>
      <c r="F88" s="17"/>
    </row>
    <row r="89" spans="1:7">
      <c r="A89" s="234"/>
      <c r="B89" s="18" t="s">
        <v>401</v>
      </c>
      <c r="E89" s="233">
        <f>C55*6.56</f>
        <v>37083.68</v>
      </c>
      <c r="F89" s="236" t="s">
        <v>32</v>
      </c>
    </row>
    <row r="90" spans="1:7">
      <c r="A90" s="234"/>
      <c r="B90" s="18"/>
      <c r="E90" s="233"/>
      <c r="F90" s="236"/>
    </row>
    <row r="91" spans="1:7">
      <c r="A91" s="18"/>
      <c r="B91" s="18" t="s">
        <v>402</v>
      </c>
      <c r="C91" s="238"/>
      <c r="D91" s="236"/>
      <c r="E91" s="233"/>
      <c r="F91" s="236"/>
    </row>
    <row r="92" spans="1:7">
      <c r="A92" s="18"/>
      <c r="B92" s="18" t="s">
        <v>401</v>
      </c>
      <c r="C92" s="238"/>
      <c r="D92" s="236"/>
      <c r="E92" s="233">
        <f>C55*6.56</f>
        <v>37083.68</v>
      </c>
      <c r="F92" s="236" t="s">
        <v>32</v>
      </c>
    </row>
    <row r="93" spans="1:7">
      <c r="A93" s="18"/>
      <c r="B93" s="17"/>
      <c r="C93" s="238"/>
      <c r="D93" s="236"/>
    </row>
    <row r="94" spans="1:7" s="18" customFormat="1">
      <c r="A94" s="18" t="s">
        <v>354</v>
      </c>
      <c r="B94" s="18" t="s">
        <v>403</v>
      </c>
      <c r="C94" s="30"/>
      <c r="D94" s="27"/>
    </row>
    <row r="95" spans="1:7" s="18" customFormat="1">
      <c r="B95" s="18" t="s">
        <v>404</v>
      </c>
      <c r="C95" s="30"/>
      <c r="D95" s="27"/>
      <c r="E95" s="31">
        <f>C55*0.1*2</f>
        <v>1130.6000000000001</v>
      </c>
      <c r="F95" s="27" t="s">
        <v>32</v>
      </c>
    </row>
    <row r="96" spans="1:7" s="18" customFormat="1">
      <c r="B96" s="18" t="s">
        <v>405</v>
      </c>
      <c r="C96" s="30"/>
      <c r="D96" s="27"/>
      <c r="E96" s="31">
        <f>1/3*C55*0.1</f>
        <v>188.43333333333334</v>
      </c>
      <c r="F96" s="27" t="s">
        <v>32</v>
      </c>
    </row>
    <row r="97" spans="1:7" s="18" customFormat="1">
      <c r="C97" s="30"/>
      <c r="D97" s="27"/>
      <c r="E97" s="662">
        <f>E95+E96</f>
        <v>1319.0333333333335</v>
      </c>
      <c r="F97" s="236" t="s">
        <v>32</v>
      </c>
    </row>
    <row r="98" spans="1:7" s="18" customFormat="1">
      <c r="C98" s="30"/>
      <c r="D98" s="27"/>
    </row>
    <row r="99" spans="1:7">
      <c r="A99" s="18" t="s">
        <v>359</v>
      </c>
      <c r="B99" s="27" t="s">
        <v>406</v>
      </c>
      <c r="D99" s="5"/>
      <c r="E99" s="5"/>
      <c r="F99" s="5"/>
      <c r="G99" s="238"/>
    </row>
    <row r="100" spans="1:7">
      <c r="B100" s="27" t="s">
        <v>407</v>
      </c>
      <c r="C100" s="17">
        <f>14*0.5*0.5</f>
        <v>3.5</v>
      </c>
      <c r="D100" s="236" t="s">
        <v>32</v>
      </c>
      <c r="E100" s="5"/>
      <c r="F100" s="5"/>
      <c r="G100" s="238"/>
    </row>
    <row r="101" spans="1:7">
      <c r="B101" s="27"/>
      <c r="C101" s="17"/>
      <c r="D101" s="236"/>
      <c r="E101" s="5"/>
      <c r="F101" s="5"/>
      <c r="G101" s="238"/>
    </row>
    <row r="102" spans="1:7">
      <c r="D102" s="5"/>
      <c r="E102" s="5"/>
      <c r="F102" s="5"/>
      <c r="G102" s="238"/>
    </row>
    <row r="103" spans="1:7">
      <c r="A103" s="18" t="s">
        <v>362</v>
      </c>
      <c r="B103" s="27" t="s">
        <v>363</v>
      </c>
      <c r="C103" s="661">
        <v>54</v>
      </c>
      <c r="D103" s="236" t="s">
        <v>48</v>
      </c>
      <c r="E103" s="5"/>
      <c r="F103" s="5"/>
      <c r="G103" s="238"/>
    </row>
    <row r="104" spans="1:7">
      <c r="B104" s="27"/>
      <c r="C104" s="17"/>
      <c r="D104" s="236"/>
      <c r="E104" s="5"/>
      <c r="F104" s="5"/>
      <c r="G104" s="238"/>
    </row>
    <row r="105" spans="1:7">
      <c r="B105" s="27"/>
      <c r="C105" s="17"/>
      <c r="D105" s="236"/>
      <c r="E105" s="5"/>
      <c r="F105" s="5"/>
      <c r="G105" s="238"/>
    </row>
    <row r="106" spans="1:7">
      <c r="D106" s="5"/>
      <c r="E106" s="5"/>
      <c r="F106" s="5"/>
    </row>
    <row r="107" spans="1:7">
      <c r="D107" s="5"/>
      <c r="E107" s="5"/>
      <c r="F107" s="5"/>
    </row>
    <row r="108" spans="1:7">
      <c r="B108" s="13" t="s">
        <v>408</v>
      </c>
      <c r="D108" s="5"/>
      <c r="E108" s="5"/>
      <c r="F108" s="5"/>
    </row>
    <row r="109" spans="1:7">
      <c r="B109" s="35" t="s">
        <v>409</v>
      </c>
      <c r="D109" s="5"/>
      <c r="E109" s="5"/>
      <c r="F109" s="5"/>
    </row>
    <row r="110" spans="1:7">
      <c r="D110" s="5"/>
      <c r="E110" s="5"/>
      <c r="F110" s="5"/>
    </row>
    <row r="111" spans="1:7">
      <c r="D111" s="5"/>
      <c r="E111" s="5"/>
      <c r="F111" s="5"/>
    </row>
    <row r="112" spans="1:7">
      <c r="D112" s="5"/>
      <c r="E112" s="5"/>
      <c r="F112" s="5"/>
    </row>
    <row r="113" spans="4:6">
      <c r="D113" s="5"/>
      <c r="E113" s="5"/>
      <c r="F113" s="5"/>
    </row>
    <row r="114" spans="4:6">
      <c r="D114" s="5"/>
      <c r="E114" s="5"/>
      <c r="F114" s="5"/>
    </row>
    <row r="115" spans="4:6">
      <c r="D115" s="5"/>
      <c r="E115" s="5"/>
      <c r="F115" s="5"/>
    </row>
    <row r="116" spans="4:6">
      <c r="D116" s="5"/>
      <c r="E116" s="5"/>
      <c r="F116" s="5"/>
    </row>
    <row r="117" spans="4:6">
      <c r="D117" s="5"/>
      <c r="E117" s="5"/>
      <c r="F117" s="5"/>
    </row>
    <row r="118" spans="4:6">
      <c r="D118" s="5"/>
      <c r="E118" s="5"/>
      <c r="F118" s="5"/>
    </row>
    <row r="119" spans="4:6">
      <c r="D119" s="5"/>
      <c r="E119" s="5"/>
      <c r="F119" s="5"/>
    </row>
    <row r="120" spans="4:6">
      <c r="D120" s="5"/>
      <c r="E120" s="5"/>
      <c r="F120" s="5"/>
    </row>
    <row r="121" spans="4:6">
      <c r="D121" s="5"/>
      <c r="E121" s="5"/>
      <c r="F121" s="5"/>
    </row>
    <row r="122" spans="4:6">
      <c r="D122" s="5"/>
      <c r="E122" s="5"/>
      <c r="F122" s="5"/>
    </row>
    <row r="123" spans="4:6">
      <c r="D123" s="5"/>
      <c r="E123" s="5"/>
      <c r="F123" s="5"/>
    </row>
    <row r="124" spans="4:6">
      <c r="D124" s="5"/>
      <c r="E124" s="5"/>
      <c r="F124" s="5"/>
    </row>
    <row r="125" spans="4:6">
      <c r="D125" s="5"/>
      <c r="E125" s="5"/>
      <c r="F125" s="5"/>
    </row>
    <row r="126" spans="4:6">
      <c r="D126" s="5"/>
      <c r="E126" s="5"/>
      <c r="F126" s="5"/>
    </row>
    <row r="127" spans="4:6">
      <c r="D127" s="5"/>
      <c r="E127" s="5"/>
      <c r="F127" s="5"/>
    </row>
    <row r="128" spans="4:6">
      <c r="D128" s="5"/>
      <c r="E128" s="5"/>
      <c r="F128" s="5"/>
    </row>
    <row r="129" spans="4:6">
      <c r="D129" s="5"/>
      <c r="E129" s="5"/>
      <c r="F129" s="5"/>
    </row>
    <row r="130" spans="4:6">
      <c r="D130" s="5"/>
      <c r="E130" s="5"/>
      <c r="F130" s="5"/>
    </row>
    <row r="131" spans="4:6">
      <c r="D131" s="5"/>
      <c r="E131" s="5"/>
      <c r="F131" s="5"/>
    </row>
    <row r="132" spans="4:6">
      <c r="D132" s="5"/>
      <c r="E132" s="5"/>
      <c r="F132" s="5"/>
    </row>
    <row r="133" spans="4:6">
      <c r="D133" s="5"/>
      <c r="E133" s="5"/>
      <c r="F133" s="5"/>
    </row>
    <row r="134" spans="4:6">
      <c r="D134" s="5"/>
      <c r="E134" s="5"/>
      <c r="F134" s="5"/>
    </row>
    <row r="135" spans="4:6">
      <c r="D135" s="5"/>
      <c r="E135" s="5"/>
      <c r="F135" s="5"/>
    </row>
    <row r="136" spans="4:6">
      <c r="D136" s="5"/>
      <c r="E136" s="5"/>
      <c r="F136" s="5"/>
    </row>
    <row r="137" spans="4:6">
      <c r="D137" s="5"/>
      <c r="E137" s="5"/>
      <c r="F137" s="5"/>
    </row>
    <row r="138" spans="4:6">
      <c r="D138" s="5"/>
      <c r="E138" s="5"/>
      <c r="F138" s="5"/>
    </row>
    <row r="139" spans="4:6">
      <c r="D139" s="5"/>
      <c r="E139" s="5"/>
      <c r="F139" s="5"/>
    </row>
    <row r="140" spans="4:6">
      <c r="D140" s="5"/>
      <c r="E140" s="5"/>
      <c r="F140" s="5"/>
    </row>
    <row r="141" spans="4:6">
      <c r="D141" s="5"/>
      <c r="E141" s="5"/>
      <c r="F141" s="5"/>
    </row>
    <row r="142" spans="4:6">
      <c r="D142" s="5"/>
      <c r="E142" s="5"/>
      <c r="F142" s="5"/>
    </row>
    <row r="143" spans="4:6">
      <c r="D143" s="5"/>
      <c r="E143" s="5"/>
      <c r="F143" s="5"/>
    </row>
    <row r="144" spans="4:6">
      <c r="D144" s="5"/>
      <c r="E144" s="5"/>
      <c r="F144" s="5"/>
    </row>
    <row r="145" spans="4:6">
      <c r="D145" s="5"/>
      <c r="E145" s="5"/>
      <c r="F145" s="5"/>
    </row>
    <row r="146" spans="4:6">
      <c r="D146" s="5"/>
      <c r="E146" s="5"/>
      <c r="F146" s="5"/>
    </row>
    <row r="147" spans="4:6">
      <c r="D147" s="5"/>
      <c r="E147" s="5"/>
      <c r="F147" s="5"/>
    </row>
    <row r="148" spans="4:6">
      <c r="D148" s="5"/>
      <c r="E148" s="5"/>
      <c r="F148" s="5"/>
    </row>
    <row r="149" spans="4:6">
      <c r="D149" s="5"/>
      <c r="E149" s="5"/>
      <c r="F149" s="5"/>
    </row>
    <row r="150" spans="4:6">
      <c r="D150" s="5"/>
      <c r="E150" s="5"/>
      <c r="F150" s="5"/>
    </row>
    <row r="151" spans="4:6">
      <c r="D151" s="5"/>
      <c r="E151" s="5"/>
      <c r="F151" s="5"/>
    </row>
    <row r="152" spans="4:6">
      <c r="D152" s="5"/>
      <c r="E152" s="5"/>
      <c r="F152" s="5"/>
    </row>
    <row r="153" spans="4:6">
      <c r="D153" s="5"/>
      <c r="E153" s="5"/>
      <c r="F153" s="5"/>
    </row>
    <row r="154" spans="4:6">
      <c r="D154" s="5"/>
      <c r="E154" s="5"/>
      <c r="F154" s="5"/>
    </row>
    <row r="155" spans="4:6">
      <c r="D155" s="5"/>
      <c r="E155" s="5"/>
      <c r="F155" s="5"/>
    </row>
    <row r="156" spans="4:6">
      <c r="D156" s="5"/>
      <c r="E156" s="5"/>
      <c r="F156" s="5"/>
    </row>
    <row r="157" spans="4:6">
      <c r="D157" s="5"/>
      <c r="E157" s="5"/>
      <c r="F157" s="5"/>
    </row>
    <row r="158" spans="4:6">
      <c r="D158" s="5"/>
      <c r="E158" s="5"/>
      <c r="F158" s="5"/>
    </row>
    <row r="159" spans="4:6">
      <c r="D159" s="5"/>
      <c r="E159" s="5"/>
      <c r="F159" s="5"/>
    </row>
    <row r="160" spans="4:6">
      <c r="D160" s="5"/>
      <c r="E160" s="5"/>
      <c r="F160" s="5"/>
    </row>
    <row r="161" spans="4:6">
      <c r="D161" s="5"/>
      <c r="E161" s="5"/>
      <c r="F161" s="5"/>
    </row>
    <row r="162" spans="4:6">
      <c r="D162" s="5"/>
      <c r="E162" s="5"/>
      <c r="F162" s="5"/>
    </row>
    <row r="163" spans="4:6">
      <c r="D163" s="5"/>
      <c r="E163" s="5"/>
      <c r="F163" s="5"/>
    </row>
    <row r="164" spans="4:6">
      <c r="D164" s="5"/>
      <c r="E164" s="5"/>
      <c r="F164" s="5"/>
    </row>
    <row r="165" spans="4:6">
      <c r="D165" s="5"/>
      <c r="E165" s="5"/>
      <c r="F165" s="5"/>
    </row>
    <row r="166" spans="4:6">
      <c r="D166" s="5"/>
      <c r="E166" s="5"/>
      <c r="F166" s="5"/>
    </row>
    <row r="167" spans="4:6">
      <c r="D167" s="5"/>
      <c r="E167" s="5"/>
      <c r="F167" s="5"/>
    </row>
    <row r="168" spans="4:6">
      <c r="D168" s="5"/>
      <c r="E168" s="5"/>
      <c r="F168" s="5"/>
    </row>
    <row r="169" spans="4:6">
      <c r="D169" s="5"/>
      <c r="E169" s="5"/>
      <c r="F169" s="5"/>
    </row>
    <row r="170" spans="4:6">
      <c r="D170" s="5"/>
      <c r="E170" s="5"/>
      <c r="F170" s="5"/>
    </row>
    <row r="171" spans="4:6">
      <c r="D171" s="5"/>
      <c r="E171" s="5"/>
      <c r="F171" s="5"/>
    </row>
    <row r="172" spans="4:6">
      <c r="D172" s="5"/>
      <c r="E172" s="5"/>
      <c r="F172" s="5"/>
    </row>
    <row r="173" spans="4:6">
      <c r="D173" s="5"/>
      <c r="E173" s="5"/>
      <c r="F173" s="5"/>
    </row>
    <row r="174" spans="4:6">
      <c r="D174" s="5"/>
      <c r="E174" s="5"/>
      <c r="F174" s="5"/>
    </row>
    <row r="175" spans="4:6">
      <c r="D175" s="5"/>
      <c r="E175" s="5"/>
      <c r="F175" s="5"/>
    </row>
    <row r="176" spans="4:6">
      <c r="D176" s="5"/>
      <c r="E176" s="5"/>
      <c r="F176" s="5"/>
    </row>
    <row r="177" spans="4:6">
      <c r="D177" s="5"/>
      <c r="E177" s="5"/>
      <c r="F177" s="5"/>
    </row>
    <row r="178" spans="4:6">
      <c r="D178" s="5"/>
      <c r="E178" s="5"/>
      <c r="F178" s="5"/>
    </row>
    <row r="179" spans="4:6">
      <c r="D179" s="5"/>
      <c r="E179" s="5"/>
      <c r="F179" s="5"/>
    </row>
    <row r="180" spans="4:6">
      <c r="D180" s="5"/>
      <c r="E180" s="5"/>
      <c r="F180" s="5"/>
    </row>
    <row r="181" spans="4:6">
      <c r="D181" s="5"/>
      <c r="E181" s="5"/>
      <c r="F181" s="5"/>
    </row>
    <row r="182" spans="4:6">
      <c r="D182" s="5"/>
      <c r="E182" s="5"/>
      <c r="F182" s="5"/>
    </row>
    <row r="183" spans="4:6">
      <c r="D183" s="5"/>
      <c r="E183" s="5"/>
      <c r="F183" s="5"/>
    </row>
    <row r="184" spans="4:6">
      <c r="D184" s="5"/>
      <c r="E184" s="5"/>
      <c r="F184" s="5"/>
    </row>
    <row r="185" spans="4:6">
      <c r="D185" s="5"/>
      <c r="E185" s="5"/>
      <c r="F185" s="5"/>
    </row>
    <row r="186" spans="4:6">
      <c r="D186" s="5"/>
      <c r="E186" s="5"/>
      <c r="F186" s="5"/>
    </row>
    <row r="187" spans="4:6">
      <c r="D187" s="5"/>
      <c r="E187" s="5"/>
      <c r="F187" s="5"/>
    </row>
    <row r="188" spans="4:6">
      <c r="D188" s="5"/>
      <c r="E188" s="5"/>
      <c r="F188" s="5"/>
    </row>
    <row r="189" spans="4:6">
      <c r="D189" s="5"/>
      <c r="E189" s="5"/>
      <c r="F189" s="5"/>
    </row>
    <row r="190" spans="4:6">
      <c r="D190" s="5"/>
      <c r="E190" s="5"/>
      <c r="F190" s="5"/>
    </row>
    <row r="191" spans="4:6">
      <c r="D191" s="5"/>
      <c r="E191" s="5"/>
      <c r="F191" s="5"/>
    </row>
    <row r="192" spans="4:6">
      <c r="D192" s="5"/>
      <c r="E192" s="5"/>
      <c r="F192" s="5"/>
    </row>
    <row r="193" spans="4:6">
      <c r="D193" s="5"/>
      <c r="E193" s="5"/>
      <c r="F193" s="5"/>
    </row>
    <row r="194" spans="4:6">
      <c r="D194" s="5"/>
      <c r="E194" s="5"/>
      <c r="F194" s="5"/>
    </row>
    <row r="195" spans="4:6">
      <c r="D195" s="5"/>
      <c r="E195" s="5"/>
      <c r="F195" s="5"/>
    </row>
    <row r="196" spans="4:6">
      <c r="D196" s="5"/>
      <c r="E196" s="5"/>
      <c r="F196" s="5"/>
    </row>
    <row r="197" spans="4:6">
      <c r="D197" s="5"/>
      <c r="E197" s="5"/>
      <c r="F197" s="5"/>
    </row>
    <row r="198" spans="4:6">
      <c r="D198" s="5"/>
      <c r="E198" s="5"/>
      <c r="F198" s="5"/>
    </row>
    <row r="199" spans="4:6">
      <c r="D199" s="5"/>
      <c r="E199" s="5"/>
      <c r="F199" s="5"/>
    </row>
    <row r="200" spans="4:6">
      <c r="D200" s="5"/>
      <c r="E200" s="5"/>
      <c r="F200" s="5"/>
    </row>
    <row r="201" spans="4:6">
      <c r="D201" s="5"/>
      <c r="E201" s="5"/>
      <c r="F201" s="5"/>
    </row>
    <row r="202" spans="4:6">
      <c r="D202" s="5"/>
      <c r="E202" s="5"/>
      <c r="F202" s="5"/>
    </row>
    <row r="203" spans="4:6">
      <c r="D203" s="5"/>
      <c r="E203" s="5"/>
      <c r="F203" s="5"/>
    </row>
    <row r="204" spans="4:6">
      <c r="D204" s="5"/>
      <c r="E204" s="5"/>
      <c r="F204" s="5"/>
    </row>
    <row r="205" spans="4:6">
      <c r="D205" s="5"/>
      <c r="E205" s="5"/>
      <c r="F205" s="5"/>
    </row>
    <row r="206" spans="4:6">
      <c r="D206" s="5"/>
      <c r="E206" s="5"/>
      <c r="F206" s="5"/>
    </row>
    <row r="207" spans="4:6">
      <c r="D207" s="5"/>
      <c r="E207" s="5"/>
      <c r="F207" s="5"/>
    </row>
    <row r="208" spans="4:6">
      <c r="D208" s="5"/>
      <c r="E208" s="5"/>
      <c r="F208" s="5"/>
    </row>
    <row r="209" spans="4:6">
      <c r="D209" s="5"/>
      <c r="E209" s="5"/>
      <c r="F209" s="5"/>
    </row>
    <row r="210" spans="4:6">
      <c r="D210" s="5"/>
      <c r="E210" s="5"/>
      <c r="F210" s="5"/>
    </row>
    <row r="211" spans="4:6">
      <c r="D211" s="5"/>
      <c r="E211" s="5"/>
      <c r="F211" s="5"/>
    </row>
    <row r="212" spans="4:6">
      <c r="D212" s="5"/>
      <c r="E212" s="5"/>
      <c r="F212" s="5"/>
    </row>
    <row r="213" spans="4:6">
      <c r="D213" s="5"/>
      <c r="E213" s="5"/>
      <c r="F213" s="5"/>
    </row>
    <row r="214" spans="4:6">
      <c r="D214" s="5"/>
      <c r="E214" s="5"/>
      <c r="F214" s="5"/>
    </row>
    <row r="215" spans="4:6">
      <c r="D215" s="5"/>
      <c r="E215" s="5"/>
      <c r="F215" s="5"/>
    </row>
    <row r="216" spans="4:6">
      <c r="D216" s="5"/>
      <c r="E216" s="5"/>
      <c r="F216" s="5"/>
    </row>
    <row r="217" spans="4:6">
      <c r="D217" s="5"/>
      <c r="E217" s="5"/>
      <c r="F217" s="5"/>
    </row>
    <row r="218" spans="4:6">
      <c r="D218" s="5"/>
      <c r="E218" s="5"/>
      <c r="F218" s="5"/>
    </row>
    <row r="219" spans="4:6">
      <c r="D219" s="5"/>
      <c r="E219" s="5"/>
      <c r="F219" s="5"/>
    </row>
    <row r="220" spans="4:6">
      <c r="D220" s="5"/>
      <c r="E220" s="5"/>
      <c r="F220" s="5"/>
    </row>
    <row r="221" spans="4:6">
      <c r="D221" s="5"/>
      <c r="E221" s="5"/>
      <c r="F221" s="5"/>
    </row>
    <row r="222" spans="4:6">
      <c r="D222" s="5"/>
      <c r="E222" s="5"/>
      <c r="F222" s="5"/>
    </row>
    <row r="223" spans="4:6">
      <c r="D223" s="5"/>
      <c r="E223" s="5"/>
      <c r="F223" s="5"/>
    </row>
    <row r="224" spans="4:6">
      <c r="D224" s="5"/>
      <c r="E224" s="5"/>
      <c r="F224" s="5"/>
    </row>
    <row r="225" spans="4:6">
      <c r="D225" s="5"/>
      <c r="E225" s="5"/>
      <c r="F225" s="5"/>
    </row>
    <row r="226" spans="4:6">
      <c r="D226" s="5"/>
      <c r="E226" s="5"/>
      <c r="F226" s="5"/>
    </row>
    <row r="227" spans="4:6">
      <c r="D227" s="5"/>
      <c r="E227" s="5"/>
      <c r="F227" s="5"/>
    </row>
    <row r="228" spans="4:6">
      <c r="D228" s="5"/>
      <c r="E228" s="5"/>
      <c r="F228" s="5"/>
    </row>
    <row r="229" spans="4:6">
      <c r="D229" s="5"/>
      <c r="E229" s="5"/>
      <c r="F229" s="5"/>
    </row>
    <row r="230" spans="4:6">
      <c r="D230" s="5"/>
      <c r="E230" s="5"/>
      <c r="F230" s="5"/>
    </row>
    <row r="231" spans="4:6">
      <c r="D231" s="5"/>
      <c r="E231" s="5"/>
      <c r="F231" s="5"/>
    </row>
    <row r="232" spans="4:6">
      <c r="D232" s="5"/>
      <c r="E232" s="5"/>
      <c r="F232" s="5"/>
    </row>
    <row r="233" spans="4:6">
      <c r="D233" s="5"/>
      <c r="E233" s="5"/>
      <c r="F233" s="5"/>
    </row>
    <row r="234" spans="4:6">
      <c r="D234" s="5"/>
      <c r="E234" s="5"/>
      <c r="F234" s="5"/>
    </row>
    <row r="235" spans="4:6">
      <c r="D235" s="5"/>
      <c r="E235" s="5"/>
      <c r="F235" s="5"/>
    </row>
    <row r="236" spans="4:6">
      <c r="D236" s="5"/>
      <c r="E236" s="5"/>
      <c r="F236" s="5"/>
    </row>
    <row r="237" spans="4:6">
      <c r="D237" s="5"/>
      <c r="E237" s="5"/>
      <c r="F237" s="5"/>
    </row>
    <row r="238" spans="4:6">
      <c r="D238" s="5"/>
      <c r="E238" s="5"/>
      <c r="F238" s="5"/>
    </row>
    <row r="239" spans="4:6">
      <c r="D239" s="5"/>
      <c r="E239" s="5"/>
      <c r="F239" s="5"/>
    </row>
    <row r="240" spans="4:6">
      <c r="D240" s="5"/>
      <c r="E240" s="5"/>
      <c r="F240" s="5"/>
    </row>
    <row r="241" spans="4:6">
      <c r="D241" s="5"/>
      <c r="E241" s="5"/>
      <c r="F241" s="5"/>
    </row>
    <row r="242" spans="4:6">
      <c r="D242" s="5"/>
      <c r="E242" s="5"/>
      <c r="F242" s="5"/>
    </row>
    <row r="243" spans="4:6">
      <c r="D243" s="5"/>
      <c r="E243" s="5"/>
      <c r="F243" s="5"/>
    </row>
    <row r="244" spans="4:6">
      <c r="D244" s="5"/>
      <c r="E244" s="5"/>
      <c r="F244" s="5"/>
    </row>
    <row r="245" spans="4:6">
      <c r="D245" s="5"/>
      <c r="E245" s="5"/>
      <c r="F245" s="5"/>
    </row>
    <row r="246" spans="4:6">
      <c r="D246" s="5"/>
      <c r="E246" s="5"/>
      <c r="F246" s="5"/>
    </row>
    <row r="247" spans="4:6">
      <c r="D247" s="5"/>
      <c r="E247" s="5"/>
      <c r="F247" s="5"/>
    </row>
    <row r="248" spans="4:6">
      <c r="D248" s="5"/>
      <c r="E248" s="5"/>
      <c r="F248" s="5"/>
    </row>
    <row r="249" spans="4:6">
      <c r="D249" s="5"/>
      <c r="E249" s="5"/>
      <c r="F249" s="5"/>
    </row>
    <row r="250" spans="4:6">
      <c r="D250" s="5"/>
      <c r="E250" s="5"/>
      <c r="F250" s="5"/>
    </row>
    <row r="251" spans="4:6">
      <c r="D251" s="5"/>
      <c r="E251" s="5"/>
      <c r="F251" s="5"/>
    </row>
    <row r="252" spans="4:6">
      <c r="D252" s="5"/>
      <c r="E252" s="5"/>
      <c r="F252" s="5"/>
    </row>
    <row r="253" spans="4:6">
      <c r="D253" s="5"/>
      <c r="E253" s="5"/>
      <c r="F253" s="5"/>
    </row>
    <row r="254" spans="4:6">
      <c r="D254" s="5"/>
      <c r="E254" s="5"/>
      <c r="F254" s="5"/>
    </row>
    <row r="255" spans="4:6">
      <c r="D255" s="5"/>
      <c r="E255" s="5"/>
      <c r="F255" s="5"/>
    </row>
    <row r="256" spans="4:6">
      <c r="D256" s="5"/>
      <c r="E256" s="5"/>
      <c r="F256" s="5"/>
    </row>
    <row r="257" spans="4:6">
      <c r="D257" s="5"/>
      <c r="E257" s="5"/>
      <c r="F257" s="5"/>
    </row>
    <row r="258" spans="4:6">
      <c r="D258" s="5"/>
      <c r="E258" s="5"/>
      <c r="F258" s="5"/>
    </row>
    <row r="259" spans="4:6">
      <c r="D259" s="5"/>
      <c r="E259" s="5"/>
      <c r="F259" s="5"/>
    </row>
    <row r="260" spans="4:6">
      <c r="D260" s="5"/>
      <c r="E260" s="5"/>
      <c r="F260" s="5"/>
    </row>
    <row r="261" spans="4:6">
      <c r="D261" s="5"/>
      <c r="E261" s="5"/>
      <c r="F261" s="5"/>
    </row>
    <row r="262" spans="4:6">
      <c r="D262" s="5"/>
      <c r="E262" s="5"/>
      <c r="F262" s="5"/>
    </row>
    <row r="263" spans="4:6">
      <c r="D263" s="5"/>
      <c r="E263" s="5"/>
      <c r="F263" s="5"/>
    </row>
    <row r="264" spans="4:6">
      <c r="D264" s="5"/>
      <c r="E264" s="5"/>
      <c r="F264" s="5"/>
    </row>
    <row r="265" spans="4:6">
      <c r="D265" s="5"/>
      <c r="E265" s="5"/>
      <c r="F265" s="5"/>
    </row>
    <row r="266" spans="4:6">
      <c r="D266" s="5"/>
      <c r="E266" s="5"/>
      <c r="F266" s="5"/>
    </row>
    <row r="267" spans="4:6">
      <c r="D267" s="5"/>
      <c r="E267" s="5"/>
      <c r="F267" s="5"/>
    </row>
    <row r="268" spans="4:6">
      <c r="D268" s="5"/>
      <c r="E268" s="5"/>
      <c r="F268" s="5"/>
    </row>
    <row r="269" spans="4:6">
      <c r="D269" s="5"/>
      <c r="E269" s="5"/>
      <c r="F269" s="5"/>
    </row>
    <row r="270" spans="4:6">
      <c r="D270" s="5"/>
      <c r="E270" s="5"/>
      <c r="F270" s="5"/>
    </row>
    <row r="271" spans="4:6">
      <c r="D271" s="5"/>
      <c r="E271" s="5"/>
      <c r="F271" s="5"/>
    </row>
    <row r="272" spans="4:6">
      <c r="D272" s="5"/>
      <c r="E272" s="5"/>
      <c r="F272" s="5"/>
    </row>
    <row r="273" spans="4:6">
      <c r="D273" s="5"/>
      <c r="E273" s="5"/>
      <c r="F273" s="5"/>
    </row>
    <row r="274" spans="4:6">
      <c r="D274" s="5"/>
      <c r="E274" s="5"/>
      <c r="F274" s="5"/>
    </row>
    <row r="275" spans="4:6">
      <c r="D275" s="5"/>
      <c r="E275" s="5"/>
      <c r="F275" s="5"/>
    </row>
    <row r="276" spans="4:6">
      <c r="D276" s="5"/>
      <c r="E276" s="5"/>
      <c r="F276" s="5"/>
    </row>
    <row r="277" spans="4:6">
      <c r="D277" s="5"/>
      <c r="E277" s="5"/>
      <c r="F277" s="5"/>
    </row>
    <row r="278" spans="4:6">
      <c r="D278" s="5"/>
      <c r="E278" s="5"/>
      <c r="F278" s="5"/>
    </row>
    <row r="279" spans="4:6">
      <c r="D279" s="5"/>
      <c r="E279" s="5"/>
      <c r="F279" s="5"/>
    </row>
    <row r="280" spans="4:6">
      <c r="D280" s="5"/>
      <c r="E280" s="5"/>
      <c r="F280" s="5"/>
    </row>
    <row r="281" spans="4:6">
      <c r="D281" s="5"/>
      <c r="E281" s="5"/>
      <c r="F281" s="5"/>
    </row>
    <row r="282" spans="4:6">
      <c r="D282" s="5"/>
      <c r="E282" s="5"/>
      <c r="F282" s="5"/>
    </row>
    <row r="283" spans="4:6">
      <c r="D283" s="5"/>
      <c r="E283" s="5"/>
      <c r="F283" s="5"/>
    </row>
    <row r="284" spans="4:6">
      <c r="D284" s="5"/>
      <c r="E284" s="5"/>
      <c r="F284" s="5"/>
    </row>
    <row r="285" spans="4:6">
      <c r="D285" s="5"/>
      <c r="E285" s="5"/>
      <c r="F285" s="5"/>
    </row>
    <row r="286" spans="4:6">
      <c r="D286" s="5"/>
      <c r="E286" s="5"/>
      <c r="F286" s="5"/>
    </row>
    <row r="287" spans="4:6">
      <c r="D287" s="5"/>
      <c r="E287" s="5"/>
      <c r="F287" s="5"/>
    </row>
    <row r="288" spans="4:6">
      <c r="D288" s="5"/>
      <c r="E288" s="5"/>
      <c r="F288" s="5"/>
    </row>
    <row r="289" spans="4:6">
      <c r="D289" s="5"/>
      <c r="E289" s="5"/>
      <c r="F289" s="5"/>
    </row>
    <row r="290" spans="4:6">
      <c r="D290" s="5"/>
      <c r="E290" s="5"/>
      <c r="F290" s="5"/>
    </row>
    <row r="291" spans="4:6">
      <c r="D291" s="5"/>
      <c r="E291" s="5"/>
      <c r="F291" s="5"/>
    </row>
    <row r="292" spans="4:6">
      <c r="D292" s="5"/>
      <c r="E292" s="5"/>
      <c r="F292" s="5"/>
    </row>
    <row r="293" spans="4:6">
      <c r="D293" s="5"/>
      <c r="E293" s="5"/>
      <c r="F293" s="5"/>
    </row>
    <row r="294" spans="4:6">
      <c r="D294" s="5"/>
      <c r="E294" s="5"/>
      <c r="F294" s="5"/>
    </row>
    <row r="295" spans="4:6">
      <c r="D295" s="5"/>
      <c r="E295" s="5"/>
      <c r="F295" s="5"/>
    </row>
    <row r="296" spans="4:6">
      <c r="D296" s="5"/>
      <c r="E296" s="5"/>
      <c r="F296" s="5"/>
    </row>
    <row r="297" spans="4:6">
      <c r="D297" s="5"/>
      <c r="E297" s="5"/>
      <c r="F297" s="5"/>
    </row>
    <row r="298" spans="4:6">
      <c r="D298" s="5"/>
      <c r="E298" s="5"/>
      <c r="F298" s="5"/>
    </row>
    <row r="299" spans="4:6">
      <c r="D299" s="5"/>
      <c r="E299" s="5"/>
      <c r="F299" s="5"/>
    </row>
    <row r="300" spans="4:6">
      <c r="D300" s="5"/>
      <c r="E300" s="5"/>
      <c r="F300" s="5"/>
    </row>
    <row r="301" spans="4:6">
      <c r="D301" s="5"/>
      <c r="E301" s="5"/>
      <c r="F301" s="5"/>
    </row>
    <row r="302" spans="4:6">
      <c r="D302" s="5"/>
      <c r="E302" s="5"/>
      <c r="F302" s="5"/>
    </row>
    <row r="303" spans="4:6">
      <c r="D303" s="5"/>
      <c r="E303" s="5"/>
      <c r="F303" s="5"/>
    </row>
    <row r="304" spans="4:6">
      <c r="D304" s="5"/>
      <c r="E304" s="5"/>
      <c r="F304" s="5"/>
    </row>
    <row r="305" spans="4:6">
      <c r="D305" s="5"/>
      <c r="E305" s="5"/>
      <c r="F305" s="5"/>
    </row>
    <row r="306" spans="4:6">
      <c r="D306" s="5"/>
      <c r="E306" s="5"/>
      <c r="F306" s="5"/>
    </row>
    <row r="307" spans="4:6">
      <c r="D307" s="5"/>
      <c r="E307" s="5"/>
      <c r="F307" s="5"/>
    </row>
    <row r="308" spans="4:6">
      <c r="D308" s="5"/>
      <c r="E308" s="5"/>
      <c r="F308" s="5"/>
    </row>
    <row r="309" spans="4:6">
      <c r="D309" s="5"/>
      <c r="E309" s="5"/>
      <c r="F309" s="5"/>
    </row>
    <row r="310" spans="4:6">
      <c r="D310" s="5"/>
      <c r="E310" s="5"/>
      <c r="F310" s="5"/>
    </row>
    <row r="311" spans="4:6">
      <c r="D311" s="5"/>
      <c r="E311" s="5"/>
      <c r="F311" s="5"/>
    </row>
    <row r="312" spans="4:6">
      <c r="D312" s="5"/>
      <c r="E312" s="5"/>
      <c r="F312" s="5"/>
    </row>
    <row r="313" spans="4:6">
      <c r="D313" s="5"/>
      <c r="E313" s="5"/>
      <c r="F313" s="5"/>
    </row>
    <row r="314" spans="4:6">
      <c r="D314" s="5"/>
      <c r="E314" s="5"/>
      <c r="F314" s="5"/>
    </row>
    <row r="315" spans="4:6">
      <c r="D315" s="5"/>
      <c r="E315" s="5"/>
      <c r="F315" s="5"/>
    </row>
    <row r="316" spans="4:6">
      <c r="D316" s="5"/>
      <c r="E316" s="5"/>
      <c r="F316" s="5"/>
    </row>
    <row r="317" spans="4:6">
      <c r="D317" s="5"/>
      <c r="E317" s="5"/>
      <c r="F317" s="5"/>
    </row>
    <row r="318" spans="4:6">
      <c r="D318" s="5"/>
      <c r="E318" s="5"/>
      <c r="F318" s="5"/>
    </row>
    <row r="319" spans="4:6">
      <c r="D319" s="5"/>
      <c r="E319" s="5"/>
      <c r="F319" s="5"/>
    </row>
    <row r="320" spans="4:6">
      <c r="D320" s="5"/>
      <c r="E320" s="5"/>
      <c r="F320" s="5"/>
    </row>
    <row r="321" spans="4:6">
      <c r="D321" s="5"/>
      <c r="E321" s="5"/>
      <c r="F321" s="5"/>
    </row>
    <row r="322" spans="4:6">
      <c r="D322" s="5"/>
      <c r="E322" s="5"/>
      <c r="F322" s="5"/>
    </row>
    <row r="323" spans="4:6">
      <c r="D323" s="5"/>
      <c r="E323" s="5"/>
      <c r="F323" s="5"/>
    </row>
    <row r="324" spans="4:6">
      <c r="D324" s="5"/>
      <c r="E324" s="5"/>
      <c r="F324" s="5"/>
    </row>
    <row r="325" spans="4:6">
      <c r="D325" s="5"/>
      <c r="E325" s="5"/>
      <c r="F325" s="5"/>
    </row>
    <row r="326" spans="4:6">
      <c r="D326" s="5"/>
      <c r="E326" s="5"/>
      <c r="F326" s="5"/>
    </row>
    <row r="327" spans="4:6">
      <c r="D327" s="5"/>
      <c r="E327" s="5"/>
      <c r="F327" s="5"/>
    </row>
    <row r="328" spans="4:6">
      <c r="D328" s="5"/>
      <c r="E328" s="5"/>
      <c r="F328" s="5"/>
    </row>
    <row r="329" spans="4:6">
      <c r="D329" s="5"/>
      <c r="E329" s="5"/>
      <c r="F329" s="5"/>
    </row>
    <row r="330" spans="4:6">
      <c r="D330" s="5"/>
      <c r="E330" s="5"/>
      <c r="F330" s="5"/>
    </row>
    <row r="331" spans="4:6">
      <c r="D331" s="5"/>
      <c r="E331" s="5"/>
      <c r="F331" s="5"/>
    </row>
    <row r="332" spans="4:6">
      <c r="D332" s="5"/>
      <c r="E332" s="5"/>
      <c r="F332" s="5"/>
    </row>
    <row r="333" spans="4:6">
      <c r="D333" s="5"/>
      <c r="E333" s="5"/>
      <c r="F333" s="5"/>
    </row>
    <row r="334" spans="4:6">
      <c r="D334" s="5"/>
      <c r="E334" s="5"/>
      <c r="F334" s="5"/>
    </row>
    <row r="335" spans="4:6">
      <c r="D335" s="5"/>
      <c r="E335" s="5"/>
      <c r="F335" s="5"/>
    </row>
    <row r="336" spans="4:6">
      <c r="D336" s="5"/>
      <c r="E336" s="5"/>
      <c r="F336" s="5"/>
    </row>
    <row r="337" spans="4:6">
      <c r="D337" s="5"/>
      <c r="E337" s="5"/>
      <c r="F337" s="5"/>
    </row>
    <row r="338" spans="4:6">
      <c r="D338" s="5"/>
      <c r="E338" s="5"/>
      <c r="F338" s="5"/>
    </row>
    <row r="339" spans="4:6">
      <c r="D339" s="5"/>
      <c r="E339" s="5"/>
      <c r="F339" s="5"/>
    </row>
    <row r="340" spans="4:6">
      <c r="D340" s="5"/>
      <c r="E340" s="5"/>
      <c r="F340" s="5"/>
    </row>
    <row r="341" spans="4:6">
      <c r="D341" s="5"/>
      <c r="E341" s="5"/>
      <c r="F341" s="5"/>
    </row>
    <row r="342" spans="4:6">
      <c r="D342" s="5"/>
      <c r="E342" s="5"/>
      <c r="F342" s="5"/>
    </row>
    <row r="343" spans="4:6">
      <c r="D343" s="5"/>
      <c r="E343" s="5"/>
      <c r="F343" s="5"/>
    </row>
    <row r="344" spans="4:6">
      <c r="D344" s="5"/>
      <c r="E344" s="5"/>
      <c r="F344" s="5"/>
    </row>
    <row r="345" spans="4:6">
      <c r="D345" s="5"/>
      <c r="E345" s="5"/>
      <c r="F345" s="5"/>
    </row>
    <row r="346" spans="4:6">
      <c r="D346" s="5"/>
      <c r="E346" s="5"/>
      <c r="F346" s="5"/>
    </row>
    <row r="347" spans="4:6">
      <c r="D347" s="5"/>
      <c r="E347" s="5"/>
      <c r="F347" s="5"/>
    </row>
    <row r="348" spans="4:6">
      <c r="D348" s="5"/>
      <c r="E348" s="5"/>
      <c r="F348" s="5"/>
    </row>
    <row r="349" spans="4:6">
      <c r="D349" s="5"/>
      <c r="E349" s="5"/>
      <c r="F349" s="5"/>
    </row>
    <row r="350" spans="4:6">
      <c r="D350" s="5"/>
      <c r="E350" s="5"/>
      <c r="F350" s="5"/>
    </row>
    <row r="351" spans="4:6">
      <c r="D351" s="5"/>
      <c r="E351" s="5"/>
      <c r="F351" s="5"/>
    </row>
    <row r="352" spans="4:6">
      <c r="D352" s="5"/>
      <c r="E352" s="5"/>
      <c r="F352" s="5"/>
    </row>
    <row r="353" spans="4:6">
      <c r="D353" s="5"/>
      <c r="E353" s="5"/>
      <c r="F353" s="5"/>
    </row>
    <row r="354" spans="4:6">
      <c r="D354" s="5"/>
      <c r="E354" s="5"/>
      <c r="F354" s="5"/>
    </row>
    <row r="355" spans="4:6">
      <c r="D355" s="5"/>
      <c r="E355" s="5"/>
      <c r="F355" s="5"/>
    </row>
    <row r="356" spans="4:6">
      <c r="D356" s="5"/>
      <c r="E356" s="5"/>
      <c r="F356" s="5"/>
    </row>
    <row r="357" spans="4:6">
      <c r="D357" s="5"/>
      <c r="E357" s="5"/>
      <c r="F357" s="5"/>
    </row>
    <row r="358" spans="4:6">
      <c r="D358" s="5"/>
      <c r="E358" s="5"/>
      <c r="F358" s="5"/>
    </row>
    <row r="359" spans="4:6">
      <c r="D359" s="5"/>
      <c r="E359" s="5"/>
      <c r="F359" s="5"/>
    </row>
    <row r="360" spans="4:6">
      <c r="D360" s="5"/>
      <c r="E360" s="5"/>
      <c r="F360" s="5"/>
    </row>
    <row r="361" spans="4:6">
      <c r="D361" s="5"/>
      <c r="E361" s="5"/>
      <c r="F361" s="5"/>
    </row>
    <row r="362" spans="4:6">
      <c r="D362" s="5"/>
      <c r="E362" s="5"/>
      <c r="F362" s="5"/>
    </row>
    <row r="363" spans="4:6">
      <c r="D363" s="5"/>
      <c r="E363" s="5"/>
      <c r="F363" s="5"/>
    </row>
    <row r="364" spans="4:6">
      <c r="D364" s="5"/>
      <c r="E364" s="5"/>
      <c r="F364" s="5"/>
    </row>
    <row r="365" spans="4:6">
      <c r="D365" s="5"/>
      <c r="E365" s="5"/>
      <c r="F365" s="5"/>
    </row>
    <row r="366" spans="4:6">
      <c r="D366" s="5"/>
      <c r="E366" s="5"/>
      <c r="F366" s="5"/>
    </row>
    <row r="367" spans="4:6">
      <c r="D367" s="5"/>
      <c r="E367" s="5"/>
      <c r="F367" s="5"/>
    </row>
    <row r="368" spans="4:6">
      <c r="D368" s="5"/>
      <c r="E368" s="5"/>
      <c r="F368" s="5"/>
    </row>
    <row r="369" spans="4:6">
      <c r="D369" s="5"/>
      <c r="E369" s="5"/>
      <c r="F369" s="5"/>
    </row>
    <row r="370" spans="4:6">
      <c r="D370" s="5"/>
      <c r="E370" s="5"/>
      <c r="F370" s="5"/>
    </row>
    <row r="371" spans="4:6">
      <c r="D371" s="5"/>
      <c r="E371" s="5"/>
      <c r="F371" s="5"/>
    </row>
    <row r="372" spans="4:6">
      <c r="D372" s="5"/>
      <c r="E372" s="5"/>
      <c r="F372" s="5"/>
    </row>
    <row r="373" spans="4:6">
      <c r="D373" s="5"/>
      <c r="E373" s="5"/>
      <c r="F373" s="5"/>
    </row>
    <row r="374" spans="4:6">
      <c r="D374" s="5"/>
      <c r="E374" s="5"/>
      <c r="F374" s="5"/>
    </row>
    <row r="375" spans="4:6">
      <c r="D375" s="5"/>
      <c r="E375" s="5"/>
      <c r="F375" s="5"/>
    </row>
    <row r="376" spans="4:6">
      <c r="D376" s="5"/>
      <c r="E376" s="5"/>
      <c r="F376" s="5"/>
    </row>
    <row r="377" spans="4:6">
      <c r="D377" s="5"/>
      <c r="E377" s="5"/>
      <c r="F377" s="5"/>
    </row>
    <row r="378" spans="4:6">
      <c r="D378" s="5"/>
      <c r="E378" s="5"/>
      <c r="F378" s="5"/>
    </row>
    <row r="379" spans="4:6">
      <c r="D379" s="5"/>
      <c r="E379" s="5"/>
      <c r="F379" s="5"/>
    </row>
    <row r="380" spans="4:6">
      <c r="D380" s="5"/>
      <c r="E380" s="5"/>
      <c r="F380" s="5"/>
    </row>
    <row r="381" spans="4:6">
      <c r="D381" s="5"/>
      <c r="E381" s="5"/>
      <c r="F381" s="5"/>
    </row>
    <row r="382" spans="4:6">
      <c r="D382" s="5"/>
      <c r="E382" s="5"/>
      <c r="F382" s="5"/>
    </row>
    <row r="383" spans="4:6">
      <c r="D383" s="5"/>
      <c r="E383" s="5"/>
      <c r="F383" s="5"/>
    </row>
    <row r="384" spans="4:6">
      <c r="D384" s="5"/>
      <c r="E384" s="5"/>
      <c r="F384" s="5"/>
    </row>
    <row r="385" spans="4:6">
      <c r="D385" s="5"/>
      <c r="E385" s="5"/>
      <c r="F385" s="5"/>
    </row>
    <row r="386" spans="4:6">
      <c r="D386" s="5"/>
      <c r="E386" s="5"/>
      <c r="F386" s="5"/>
    </row>
    <row r="387" spans="4:6">
      <c r="D387" s="5"/>
      <c r="E387" s="5"/>
      <c r="F387" s="5"/>
    </row>
    <row r="388" spans="4:6">
      <c r="D388" s="5"/>
      <c r="E388" s="5"/>
      <c r="F388" s="5"/>
    </row>
    <row r="389" spans="4:6">
      <c r="D389" s="5"/>
      <c r="E389" s="5"/>
      <c r="F389" s="5"/>
    </row>
    <row r="390" spans="4:6">
      <c r="D390" s="5"/>
      <c r="E390" s="5"/>
      <c r="F390" s="5"/>
    </row>
    <row r="391" spans="4:6">
      <c r="D391" s="5"/>
      <c r="E391" s="5"/>
      <c r="F391" s="5"/>
    </row>
    <row r="392" spans="4:6">
      <c r="D392" s="5"/>
      <c r="E392" s="5"/>
      <c r="F392" s="5"/>
    </row>
    <row r="393" spans="4:6">
      <c r="D393" s="5"/>
      <c r="E393" s="5"/>
      <c r="F393" s="5"/>
    </row>
    <row r="394" spans="4:6">
      <c r="D394" s="5"/>
      <c r="E394" s="5"/>
      <c r="F394" s="5"/>
    </row>
    <row r="395" spans="4:6">
      <c r="D395" s="5"/>
      <c r="E395" s="5"/>
      <c r="F395" s="5"/>
    </row>
    <row r="396" spans="4:6">
      <c r="D396" s="5"/>
      <c r="E396" s="5"/>
      <c r="F396" s="5"/>
    </row>
    <row r="397" spans="4:6">
      <c r="D397" s="5"/>
      <c r="E397" s="5"/>
      <c r="F397" s="5"/>
    </row>
    <row r="398" spans="4:6">
      <c r="D398" s="5"/>
      <c r="E398" s="5"/>
      <c r="F398" s="5"/>
    </row>
    <row r="399" spans="4:6">
      <c r="D399" s="5"/>
      <c r="E399" s="5"/>
      <c r="F399" s="5"/>
    </row>
    <row r="400" spans="4:6">
      <c r="D400" s="5"/>
      <c r="E400" s="5"/>
      <c r="F400" s="5"/>
    </row>
    <row r="401" spans="4:6">
      <c r="D401" s="5"/>
      <c r="E401" s="5"/>
      <c r="F401" s="5"/>
    </row>
    <row r="402" spans="4:6">
      <c r="D402" s="5"/>
      <c r="E402" s="5"/>
      <c r="F402" s="5"/>
    </row>
    <row r="403" spans="4:6">
      <c r="D403" s="5"/>
      <c r="E403" s="5"/>
      <c r="F403" s="5"/>
    </row>
    <row r="404" spans="4:6">
      <c r="D404" s="5"/>
      <c r="E404" s="5"/>
      <c r="F404" s="5"/>
    </row>
    <row r="405" spans="4:6">
      <c r="D405" s="5"/>
      <c r="E405" s="5"/>
      <c r="F405" s="5"/>
    </row>
    <row r="406" spans="4:6">
      <c r="D406" s="5"/>
      <c r="E406" s="5"/>
      <c r="F406" s="5"/>
    </row>
    <row r="407" spans="4:6">
      <c r="D407" s="5"/>
      <c r="E407" s="5"/>
      <c r="F407" s="5"/>
    </row>
    <row r="408" spans="4:6">
      <c r="D408" s="5"/>
      <c r="E408" s="5"/>
      <c r="F408" s="5"/>
    </row>
    <row r="409" spans="4:6">
      <c r="D409" s="5"/>
      <c r="E409" s="5"/>
      <c r="F409" s="5"/>
    </row>
    <row r="410" spans="4:6">
      <c r="D410" s="5"/>
      <c r="E410" s="5"/>
      <c r="F410" s="5"/>
    </row>
    <row r="411" spans="4:6">
      <c r="D411" s="5"/>
      <c r="E411" s="5"/>
      <c r="F411" s="5"/>
    </row>
    <row r="412" spans="4:6">
      <c r="D412" s="5"/>
      <c r="E412" s="5"/>
      <c r="F412" s="5"/>
    </row>
    <row r="413" spans="4:6">
      <c r="D413" s="5"/>
      <c r="E413" s="5"/>
      <c r="F413" s="5"/>
    </row>
    <row r="414" spans="4:6">
      <c r="D414" s="5"/>
      <c r="E414" s="5"/>
      <c r="F414" s="5"/>
    </row>
    <row r="415" spans="4:6">
      <c r="D415" s="5"/>
      <c r="E415" s="5"/>
      <c r="F415" s="5"/>
    </row>
    <row r="416" spans="4:6">
      <c r="D416" s="5"/>
      <c r="E416" s="5"/>
      <c r="F416" s="5"/>
    </row>
    <row r="417" spans="4:6">
      <c r="D417" s="5"/>
      <c r="E417" s="5"/>
      <c r="F417" s="5"/>
    </row>
    <row r="418" spans="4:6">
      <c r="D418" s="5"/>
      <c r="E418" s="5"/>
      <c r="F418" s="5"/>
    </row>
    <row r="419" spans="4:6">
      <c r="D419" s="5"/>
      <c r="E419" s="5"/>
      <c r="F419" s="5"/>
    </row>
    <row r="420" spans="4:6">
      <c r="D420" s="5"/>
      <c r="E420" s="5"/>
      <c r="F420" s="5"/>
    </row>
    <row r="421" spans="4:6">
      <c r="D421" s="5"/>
      <c r="E421" s="5"/>
      <c r="F421" s="5"/>
    </row>
    <row r="422" spans="4:6">
      <c r="D422" s="5"/>
      <c r="E422" s="5"/>
      <c r="F422" s="5"/>
    </row>
    <row r="423" spans="4:6">
      <c r="D423" s="5"/>
      <c r="E423" s="5"/>
      <c r="F423" s="5"/>
    </row>
    <row r="424" spans="4:6">
      <c r="D424" s="5"/>
      <c r="E424" s="5"/>
      <c r="F424" s="5"/>
    </row>
    <row r="425" spans="4:6">
      <c r="D425" s="5"/>
      <c r="E425" s="5"/>
      <c r="F425" s="5"/>
    </row>
    <row r="426" spans="4:6">
      <c r="D426" s="5"/>
      <c r="E426" s="5"/>
      <c r="F426" s="5"/>
    </row>
    <row r="427" spans="4:6">
      <c r="D427" s="5"/>
      <c r="E427" s="5"/>
      <c r="F427" s="5"/>
    </row>
    <row r="428" spans="4:6">
      <c r="D428" s="5"/>
      <c r="E428" s="5"/>
      <c r="F428" s="5"/>
    </row>
    <row r="429" spans="4:6">
      <c r="D429" s="5"/>
      <c r="E429" s="5"/>
      <c r="F429" s="5"/>
    </row>
    <row r="430" spans="4:6">
      <c r="D430" s="5"/>
      <c r="E430" s="5"/>
      <c r="F430" s="5"/>
    </row>
    <row r="431" spans="4:6">
      <c r="D431" s="5"/>
      <c r="E431" s="5"/>
      <c r="F431" s="5"/>
    </row>
    <row r="432" spans="4:6">
      <c r="D432" s="5"/>
      <c r="E432" s="5"/>
      <c r="F432" s="5"/>
    </row>
    <row r="433" spans="4:6">
      <c r="D433" s="5"/>
      <c r="E433" s="5"/>
      <c r="F433" s="5"/>
    </row>
    <row r="434" spans="4:6">
      <c r="D434" s="5"/>
      <c r="E434" s="5"/>
      <c r="F434" s="5"/>
    </row>
    <row r="435" spans="4:6">
      <c r="D435" s="5"/>
      <c r="E435" s="5"/>
      <c r="F435" s="5"/>
    </row>
    <row r="436" spans="4:6">
      <c r="D436" s="5"/>
      <c r="E436" s="5"/>
      <c r="F436" s="5"/>
    </row>
    <row r="437" spans="4:6">
      <c r="D437" s="5"/>
      <c r="E437" s="5"/>
      <c r="F437" s="5"/>
    </row>
    <row r="438" spans="4:6">
      <c r="D438" s="5"/>
      <c r="E438" s="5"/>
      <c r="F438" s="5"/>
    </row>
    <row r="439" spans="4:6">
      <c r="D439" s="5"/>
      <c r="E439" s="5"/>
      <c r="F439" s="5"/>
    </row>
    <row r="440" spans="4:6">
      <c r="D440" s="5"/>
      <c r="E440" s="5"/>
      <c r="F440" s="5"/>
    </row>
    <row r="441" spans="4:6">
      <c r="D441" s="5"/>
      <c r="E441" s="5"/>
      <c r="F441" s="5"/>
    </row>
    <row r="442" spans="4:6">
      <c r="D442" s="5"/>
      <c r="E442" s="5"/>
      <c r="F442" s="5"/>
    </row>
    <row r="443" spans="4:6">
      <c r="D443" s="5"/>
      <c r="E443" s="5"/>
      <c r="F443" s="5"/>
    </row>
    <row r="444" spans="4:6">
      <c r="D444" s="5"/>
      <c r="E444" s="5"/>
      <c r="F444" s="5"/>
    </row>
    <row r="445" spans="4:6">
      <c r="D445" s="5"/>
      <c r="E445" s="5"/>
      <c r="F445" s="5"/>
    </row>
    <row r="446" spans="4:6">
      <c r="D446" s="5"/>
      <c r="E446" s="5"/>
      <c r="F446" s="5"/>
    </row>
    <row r="447" spans="4:6">
      <c r="D447" s="5"/>
      <c r="E447" s="5"/>
      <c r="F447" s="5"/>
    </row>
    <row r="448" spans="4:6">
      <c r="D448" s="5"/>
      <c r="E448" s="5"/>
      <c r="F448" s="5"/>
    </row>
    <row r="449" spans="4:6">
      <c r="D449" s="5"/>
      <c r="E449" s="5"/>
      <c r="F449" s="5"/>
    </row>
    <row r="450" spans="4:6">
      <c r="D450" s="5"/>
      <c r="E450" s="5"/>
      <c r="F450" s="5"/>
    </row>
    <row r="451" spans="4:6">
      <c r="D451" s="5"/>
      <c r="E451" s="5"/>
      <c r="F451" s="5"/>
    </row>
    <row r="452" spans="4:6">
      <c r="D452" s="5"/>
      <c r="E452" s="5"/>
      <c r="F452" s="5"/>
    </row>
    <row r="453" spans="4:6">
      <c r="D453" s="5"/>
      <c r="E453" s="5"/>
      <c r="F453" s="5"/>
    </row>
    <row r="454" spans="4:6">
      <c r="D454" s="5"/>
      <c r="E454" s="5"/>
      <c r="F454" s="5"/>
    </row>
    <row r="455" spans="4:6">
      <c r="D455" s="5"/>
      <c r="E455" s="5"/>
      <c r="F455" s="5"/>
    </row>
    <row r="456" spans="4:6">
      <c r="D456" s="5"/>
      <c r="E456" s="5"/>
      <c r="F456" s="5"/>
    </row>
    <row r="457" spans="4:6">
      <c r="D457" s="5"/>
      <c r="E457" s="5"/>
      <c r="F457" s="5"/>
    </row>
    <row r="458" spans="4:6">
      <c r="D458" s="5"/>
      <c r="E458" s="5"/>
      <c r="F458" s="5"/>
    </row>
    <row r="459" spans="4:6">
      <c r="D459" s="5"/>
      <c r="E459" s="5"/>
      <c r="F459" s="5"/>
    </row>
    <row r="460" spans="4:6">
      <c r="D460" s="5"/>
      <c r="E460" s="5"/>
      <c r="F460" s="5"/>
    </row>
    <row r="461" spans="4:6">
      <c r="D461" s="5"/>
      <c r="E461" s="5"/>
      <c r="F461" s="5"/>
    </row>
    <row r="462" spans="4:6">
      <c r="D462" s="5"/>
      <c r="E462" s="5"/>
      <c r="F462" s="5"/>
    </row>
    <row r="463" spans="4:6">
      <c r="D463" s="5"/>
      <c r="E463" s="5"/>
      <c r="F463" s="5"/>
    </row>
    <row r="464" spans="4:6">
      <c r="D464" s="5"/>
      <c r="E464" s="5"/>
      <c r="F464" s="5"/>
    </row>
    <row r="465" spans="4:6">
      <c r="D465" s="5"/>
      <c r="E465" s="5"/>
      <c r="F465" s="5"/>
    </row>
    <row r="466" spans="4:6">
      <c r="D466" s="5"/>
      <c r="E466" s="5"/>
      <c r="F466" s="5"/>
    </row>
    <row r="467" spans="4:6">
      <c r="D467" s="5"/>
      <c r="E467" s="5"/>
      <c r="F467" s="5"/>
    </row>
    <row r="468" spans="4:6">
      <c r="D468" s="5"/>
      <c r="E468" s="5"/>
      <c r="F468" s="5"/>
    </row>
    <row r="469" spans="4:6">
      <c r="D469" s="5"/>
      <c r="E469" s="5"/>
      <c r="F469" s="5"/>
    </row>
    <row r="470" spans="4:6">
      <c r="D470" s="5"/>
      <c r="E470" s="5"/>
      <c r="F470" s="5"/>
    </row>
    <row r="471" spans="4:6">
      <c r="D471" s="5"/>
      <c r="E471" s="5"/>
      <c r="F471" s="5"/>
    </row>
    <row r="472" spans="4:6">
      <c r="D472" s="5"/>
      <c r="E472" s="5"/>
      <c r="F472" s="5"/>
    </row>
    <row r="473" spans="4:6">
      <c r="D473" s="5"/>
      <c r="E473" s="5"/>
      <c r="F473" s="5"/>
    </row>
    <row r="474" spans="4:6">
      <c r="D474" s="5"/>
      <c r="E474" s="5"/>
      <c r="F474" s="5"/>
    </row>
    <row r="475" spans="4:6">
      <c r="D475" s="5"/>
      <c r="E475" s="5"/>
      <c r="F475" s="5"/>
    </row>
    <row r="476" spans="4:6">
      <c r="D476" s="5"/>
      <c r="E476" s="5"/>
      <c r="F476" s="5"/>
    </row>
    <row r="477" spans="4:6">
      <c r="D477" s="5"/>
      <c r="E477" s="5"/>
      <c r="F477" s="5"/>
    </row>
    <row r="478" spans="4:6">
      <c r="D478" s="5"/>
      <c r="E478" s="5"/>
      <c r="F478" s="5"/>
    </row>
    <row r="479" spans="4:6">
      <c r="D479" s="5"/>
      <c r="E479" s="5"/>
      <c r="F479" s="5"/>
    </row>
    <row r="480" spans="4:6">
      <c r="D480" s="5"/>
      <c r="E480" s="5"/>
      <c r="F480" s="5"/>
    </row>
    <row r="481" spans="4:6">
      <c r="D481" s="5"/>
      <c r="E481" s="5"/>
      <c r="F481" s="5"/>
    </row>
    <row r="482" spans="4:6">
      <c r="D482" s="5"/>
      <c r="E482" s="5"/>
      <c r="F482" s="5"/>
    </row>
    <row r="483" spans="4:6">
      <c r="D483" s="5"/>
      <c r="E483" s="5"/>
      <c r="F483" s="5"/>
    </row>
    <row r="484" spans="4:6">
      <c r="D484" s="5"/>
      <c r="E484" s="5"/>
      <c r="F484" s="5"/>
    </row>
    <row r="485" spans="4:6">
      <c r="D485" s="5"/>
      <c r="E485" s="5"/>
      <c r="F485" s="5"/>
    </row>
    <row r="486" spans="4:6">
      <c r="D486" s="5"/>
      <c r="E486" s="5"/>
      <c r="F486" s="5"/>
    </row>
    <row r="487" spans="4:6">
      <c r="D487" s="5"/>
      <c r="E487" s="5"/>
      <c r="F487" s="5"/>
    </row>
    <row r="488" spans="4:6">
      <c r="D488" s="5"/>
      <c r="E488" s="5"/>
      <c r="F488" s="5"/>
    </row>
    <row r="489" spans="4:6">
      <c r="D489" s="5"/>
      <c r="E489" s="5"/>
      <c r="F489" s="5"/>
    </row>
    <row r="490" spans="4:6">
      <c r="D490" s="5"/>
      <c r="E490" s="5"/>
      <c r="F490" s="5"/>
    </row>
    <row r="491" spans="4:6">
      <c r="D491" s="5"/>
      <c r="E491" s="5"/>
      <c r="F491" s="5"/>
    </row>
    <row r="492" spans="4:6">
      <c r="D492" s="5"/>
      <c r="E492" s="5"/>
      <c r="F492" s="5"/>
    </row>
    <row r="493" spans="4:6">
      <c r="D493" s="5"/>
      <c r="E493" s="5"/>
      <c r="F493" s="5"/>
    </row>
    <row r="494" spans="4:6">
      <c r="D494" s="5"/>
      <c r="E494" s="5"/>
      <c r="F494" s="5"/>
    </row>
    <row r="495" spans="4:6">
      <c r="D495" s="5"/>
      <c r="E495" s="5"/>
      <c r="F495" s="5"/>
    </row>
    <row r="496" spans="4:6">
      <c r="D496" s="5"/>
      <c r="E496" s="5"/>
      <c r="F496" s="5"/>
    </row>
    <row r="497" spans="4:6">
      <c r="D497" s="5"/>
      <c r="E497" s="5"/>
      <c r="F497" s="5"/>
    </row>
    <row r="498" spans="4:6">
      <c r="D498" s="5"/>
      <c r="E498" s="5"/>
      <c r="F498" s="5"/>
    </row>
    <row r="499" spans="4:6">
      <c r="D499" s="5"/>
      <c r="E499" s="5"/>
      <c r="F499" s="5"/>
    </row>
    <row r="500" spans="4:6">
      <c r="D500" s="5"/>
      <c r="E500" s="5"/>
      <c r="F500" s="5"/>
    </row>
    <row r="501" spans="4:6">
      <c r="D501" s="5"/>
      <c r="E501" s="5"/>
      <c r="F501" s="5"/>
    </row>
    <row r="502" spans="4:6">
      <c r="D502" s="5"/>
      <c r="E502" s="5"/>
      <c r="F502" s="5"/>
    </row>
    <row r="503" spans="4:6">
      <c r="D503" s="5"/>
      <c r="E503" s="5"/>
      <c r="F503" s="5"/>
    </row>
    <row r="504" spans="4:6">
      <c r="D504" s="5"/>
      <c r="E504" s="5"/>
      <c r="F504" s="5"/>
    </row>
    <row r="505" spans="4:6">
      <c r="D505" s="5"/>
      <c r="E505" s="5"/>
      <c r="F505" s="5"/>
    </row>
    <row r="506" spans="4:6">
      <c r="D506" s="5"/>
      <c r="E506" s="5"/>
      <c r="F506" s="5"/>
    </row>
    <row r="507" spans="4:6">
      <c r="D507" s="5"/>
      <c r="E507" s="5"/>
      <c r="F507" s="5"/>
    </row>
    <row r="508" spans="4:6">
      <c r="D508" s="5"/>
      <c r="E508" s="5"/>
      <c r="F508" s="5"/>
    </row>
    <row r="509" spans="4:6">
      <c r="D509" s="5"/>
      <c r="E509" s="5"/>
      <c r="F509" s="5"/>
    </row>
    <row r="510" spans="4:6">
      <c r="D510" s="5"/>
      <c r="E510" s="5"/>
      <c r="F510" s="5"/>
    </row>
    <row r="511" spans="4:6">
      <c r="D511" s="5"/>
      <c r="E511" s="5"/>
      <c r="F511" s="5"/>
    </row>
    <row r="512" spans="4:6">
      <c r="D512" s="5"/>
      <c r="E512" s="5"/>
      <c r="F512" s="5"/>
    </row>
    <row r="513" spans="4:6">
      <c r="D513" s="5"/>
      <c r="E513" s="5"/>
      <c r="F513" s="5"/>
    </row>
    <row r="514" spans="4:6">
      <c r="D514" s="5"/>
      <c r="E514" s="5"/>
      <c r="F514" s="5"/>
    </row>
    <row r="515" spans="4:6">
      <c r="D515" s="5"/>
      <c r="E515" s="5"/>
      <c r="F515" s="5"/>
    </row>
    <row r="516" spans="4:6">
      <c r="D516" s="5"/>
      <c r="E516" s="5"/>
      <c r="F516" s="5"/>
    </row>
    <row r="517" spans="4:6">
      <c r="D517" s="5"/>
      <c r="E517" s="5"/>
      <c r="F517" s="5"/>
    </row>
    <row r="518" spans="4:6">
      <c r="D518" s="5"/>
      <c r="E518" s="5"/>
      <c r="F518" s="5"/>
    </row>
    <row r="519" spans="4:6">
      <c r="D519" s="5"/>
      <c r="E519" s="5"/>
      <c r="F519" s="5"/>
    </row>
    <row r="520" spans="4:6">
      <c r="D520" s="5"/>
      <c r="E520" s="5"/>
      <c r="F520" s="5"/>
    </row>
    <row r="521" spans="4:6">
      <c r="D521" s="5"/>
      <c r="E521" s="5"/>
      <c r="F521" s="5"/>
    </row>
    <row r="522" spans="4:6">
      <c r="D522" s="5"/>
      <c r="E522" s="5"/>
      <c r="F522" s="5"/>
    </row>
    <row r="523" spans="4:6">
      <c r="D523" s="5"/>
      <c r="E523" s="5"/>
      <c r="F523" s="5"/>
    </row>
    <row r="524" spans="4:6">
      <c r="D524" s="5"/>
      <c r="E524" s="5"/>
      <c r="F524" s="5"/>
    </row>
    <row r="525" spans="4:6">
      <c r="D525" s="5"/>
      <c r="E525" s="5"/>
      <c r="F525" s="5"/>
    </row>
    <row r="526" spans="4:6">
      <c r="D526" s="5"/>
      <c r="E526" s="5"/>
      <c r="F526" s="5"/>
    </row>
    <row r="527" spans="4:6">
      <c r="D527" s="5"/>
      <c r="E527" s="5"/>
      <c r="F527" s="5"/>
    </row>
    <row r="528" spans="4:6">
      <c r="D528" s="5"/>
      <c r="E528" s="5"/>
      <c r="F528" s="5"/>
    </row>
    <row r="529" spans="4:6">
      <c r="D529" s="5"/>
      <c r="E529" s="5"/>
      <c r="F529" s="5"/>
    </row>
    <row r="530" spans="4:6">
      <c r="D530" s="5"/>
      <c r="E530" s="5"/>
      <c r="F530" s="5"/>
    </row>
    <row r="531" spans="4:6">
      <c r="D531" s="5"/>
      <c r="E531" s="5"/>
      <c r="F531" s="5"/>
    </row>
    <row r="532" spans="4:6">
      <c r="D532" s="5"/>
      <c r="E532" s="5"/>
      <c r="F532" s="5"/>
    </row>
    <row r="533" spans="4:6">
      <c r="D533" s="5"/>
      <c r="E533" s="5"/>
      <c r="F533" s="5"/>
    </row>
    <row r="534" spans="4:6">
      <c r="D534" s="5"/>
      <c r="E534" s="5"/>
      <c r="F534" s="5"/>
    </row>
    <row r="535" spans="4:6">
      <c r="D535" s="5"/>
      <c r="E535" s="5"/>
      <c r="F535" s="5"/>
    </row>
    <row r="536" spans="4:6">
      <c r="D536" s="5"/>
      <c r="E536" s="5"/>
      <c r="F536" s="5"/>
    </row>
    <row r="537" spans="4:6">
      <c r="D537" s="5"/>
      <c r="E537" s="5"/>
      <c r="F537" s="5"/>
    </row>
    <row r="538" spans="4:6">
      <c r="D538" s="5"/>
      <c r="E538" s="5"/>
      <c r="F538" s="5"/>
    </row>
    <row r="539" spans="4:6">
      <c r="D539" s="5"/>
      <c r="E539" s="5"/>
      <c r="F539" s="5"/>
    </row>
    <row r="540" spans="4:6">
      <c r="D540" s="5"/>
      <c r="E540" s="5"/>
      <c r="F540" s="5"/>
    </row>
    <row r="541" spans="4:6">
      <c r="D541" s="5"/>
      <c r="E541" s="5"/>
      <c r="F541" s="5"/>
    </row>
    <row r="542" spans="4:6">
      <c r="D542" s="5"/>
      <c r="E542" s="5"/>
      <c r="F542" s="5"/>
    </row>
    <row r="543" spans="4:6">
      <c r="D543" s="5"/>
      <c r="E543" s="5"/>
      <c r="F543" s="5"/>
    </row>
    <row r="544" spans="4:6">
      <c r="D544" s="5"/>
      <c r="E544" s="5"/>
      <c r="F544" s="5"/>
    </row>
    <row r="545" spans="4:6">
      <c r="D545" s="5"/>
      <c r="E545" s="5"/>
      <c r="F545" s="5"/>
    </row>
    <row r="546" spans="4:6">
      <c r="D546" s="5"/>
      <c r="E546" s="5"/>
      <c r="F546" s="5"/>
    </row>
    <row r="547" spans="4:6">
      <c r="D547" s="5"/>
      <c r="E547" s="5"/>
      <c r="F547" s="5"/>
    </row>
    <row r="548" spans="4:6">
      <c r="D548" s="5"/>
      <c r="E548" s="5"/>
      <c r="F548" s="5"/>
    </row>
    <row r="549" spans="4:6">
      <c r="D549" s="5"/>
      <c r="E549" s="5"/>
      <c r="F549" s="5"/>
    </row>
    <row r="550" spans="4:6">
      <c r="D550" s="5"/>
      <c r="E550" s="5"/>
      <c r="F550" s="5"/>
    </row>
    <row r="551" spans="4:6">
      <c r="D551" s="5"/>
      <c r="E551" s="5"/>
      <c r="F551" s="5"/>
    </row>
    <row r="552" spans="4:6">
      <c r="D552" s="5"/>
      <c r="E552" s="5"/>
      <c r="F552" s="5"/>
    </row>
    <row r="553" spans="4:6">
      <c r="D553" s="5"/>
      <c r="E553" s="5"/>
      <c r="F553" s="5"/>
    </row>
    <row r="554" spans="4:6">
      <c r="D554" s="5"/>
      <c r="E554" s="5"/>
      <c r="F554" s="5"/>
    </row>
    <row r="555" spans="4:6">
      <c r="D555" s="5"/>
      <c r="E555" s="5"/>
      <c r="F555" s="5"/>
    </row>
    <row r="556" spans="4:6">
      <c r="D556" s="5"/>
      <c r="E556" s="5"/>
      <c r="F556" s="5"/>
    </row>
    <row r="557" spans="4:6">
      <c r="D557" s="5"/>
      <c r="E557" s="5"/>
      <c r="F557" s="5"/>
    </row>
    <row r="558" spans="4:6">
      <c r="D558" s="5"/>
      <c r="E558" s="5"/>
      <c r="F558" s="5"/>
    </row>
    <row r="559" spans="4:6">
      <c r="D559" s="5"/>
      <c r="E559" s="5"/>
      <c r="F559" s="5"/>
    </row>
    <row r="560" spans="4:6">
      <c r="D560" s="5"/>
      <c r="E560" s="5"/>
      <c r="F560" s="5"/>
    </row>
    <row r="561" spans="4:6">
      <c r="D561" s="5"/>
      <c r="E561" s="5"/>
      <c r="F561" s="5"/>
    </row>
    <row r="562" spans="4:6">
      <c r="D562" s="5"/>
      <c r="E562" s="5"/>
      <c r="F562" s="5"/>
    </row>
    <row r="563" spans="4:6">
      <c r="D563" s="5"/>
      <c r="E563" s="5"/>
      <c r="F563" s="5"/>
    </row>
    <row r="564" spans="4:6">
      <c r="D564" s="5"/>
      <c r="E564" s="5"/>
      <c r="F564" s="5"/>
    </row>
    <row r="565" spans="4:6">
      <c r="D565" s="5"/>
      <c r="E565" s="5"/>
      <c r="F565" s="5"/>
    </row>
    <row r="566" spans="4:6">
      <c r="D566" s="5"/>
      <c r="E566" s="5"/>
      <c r="F566" s="5"/>
    </row>
    <row r="567" spans="4:6">
      <c r="D567" s="5"/>
      <c r="E567" s="5"/>
      <c r="F567" s="5"/>
    </row>
    <row r="568" spans="4:6">
      <c r="D568" s="5"/>
      <c r="E568" s="5"/>
      <c r="F568" s="5"/>
    </row>
    <row r="569" spans="4:6">
      <c r="D569" s="5"/>
      <c r="E569" s="5"/>
      <c r="F569" s="5"/>
    </row>
    <row r="570" spans="4:6">
      <c r="D570" s="5"/>
      <c r="E570" s="5"/>
      <c r="F570" s="5"/>
    </row>
    <row r="571" spans="4:6">
      <c r="D571" s="5"/>
      <c r="E571" s="5"/>
      <c r="F571" s="5"/>
    </row>
    <row r="572" spans="4:6">
      <c r="D572" s="5"/>
      <c r="E572" s="5"/>
      <c r="F572" s="5"/>
    </row>
    <row r="573" spans="4:6">
      <c r="D573" s="5"/>
      <c r="E573" s="5"/>
      <c r="F573" s="5"/>
    </row>
    <row r="574" spans="4:6">
      <c r="D574" s="5"/>
      <c r="E574" s="5"/>
      <c r="F574" s="5"/>
    </row>
    <row r="575" spans="4:6">
      <c r="D575" s="5"/>
      <c r="E575" s="5"/>
      <c r="F575" s="5"/>
    </row>
    <row r="576" spans="4:6">
      <c r="D576" s="5"/>
      <c r="E576" s="5"/>
      <c r="F576" s="5"/>
    </row>
    <row r="577" spans="4:6">
      <c r="D577" s="5"/>
      <c r="E577" s="5"/>
      <c r="F577" s="5"/>
    </row>
    <row r="578" spans="4:6">
      <c r="D578" s="5"/>
      <c r="E578" s="5"/>
      <c r="F578" s="5"/>
    </row>
    <row r="579" spans="4:6">
      <c r="D579" s="5"/>
      <c r="E579" s="5"/>
      <c r="F579" s="5"/>
    </row>
    <row r="580" spans="4:6">
      <c r="D580" s="5"/>
      <c r="E580" s="5"/>
      <c r="F580" s="5"/>
    </row>
    <row r="581" spans="4:6">
      <c r="D581" s="5"/>
      <c r="E581" s="5"/>
      <c r="F581" s="5"/>
    </row>
    <row r="582" spans="4:6">
      <c r="D582" s="5"/>
      <c r="E582" s="5"/>
      <c r="F582" s="5"/>
    </row>
    <row r="583" spans="4:6">
      <c r="D583" s="5"/>
      <c r="E583" s="5"/>
      <c r="F583" s="5"/>
    </row>
    <row r="584" spans="4:6">
      <c r="D584" s="5"/>
      <c r="E584" s="5"/>
      <c r="F584" s="5"/>
    </row>
    <row r="585" spans="4:6">
      <c r="D585" s="5"/>
      <c r="E585" s="5"/>
      <c r="F585" s="5"/>
    </row>
    <row r="586" spans="4:6">
      <c r="D586" s="5"/>
      <c r="E586" s="5"/>
      <c r="F586" s="5"/>
    </row>
    <row r="587" spans="4:6">
      <c r="D587" s="5"/>
      <c r="E587" s="5"/>
      <c r="F587" s="5"/>
    </row>
    <row r="588" spans="4:6">
      <c r="D588" s="5"/>
      <c r="E588" s="5"/>
      <c r="F588" s="5"/>
    </row>
    <row r="589" spans="4:6">
      <c r="D589" s="5"/>
      <c r="E589" s="5"/>
      <c r="F589" s="5"/>
    </row>
  </sheetData>
  <mergeCells count="1">
    <mergeCell ref="A4:G4"/>
  </mergeCells>
  <phoneticPr fontId="0" type="noConversion"/>
  <printOptions horizontalCentered="1" verticalCentered="1"/>
  <pageMargins left="0.39370078740157483" right="0.19685039370078741" top="1.57" bottom="0.74803149606299213" header="0.31496062992125984" footer="0.31496062992125984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A60B3-65A7-46CF-A07F-F76D1C198070}">
  <dimension ref="A3:Q159"/>
  <sheetViews>
    <sheetView topLeftCell="A37" workbookViewId="0">
      <selection activeCell="H77" sqref="H77"/>
    </sheetView>
  </sheetViews>
  <sheetFormatPr defaultRowHeight="12.75"/>
  <cols>
    <col min="1" max="1" width="12.85546875" style="52" customWidth="1"/>
    <col min="2" max="2" width="10.5703125" style="52" customWidth="1"/>
    <col min="3" max="3" width="3.85546875" style="52" customWidth="1"/>
    <col min="4" max="4" width="17.140625" style="52" customWidth="1"/>
    <col min="5" max="5" width="11" style="52" customWidth="1"/>
    <col min="6" max="6" width="10.140625" style="52" customWidth="1"/>
    <col min="7" max="7" width="12.85546875" style="52" customWidth="1"/>
    <col min="8" max="8" width="10.5703125" style="52" customWidth="1"/>
    <col min="9" max="9" width="3.85546875" style="52" customWidth="1"/>
    <col min="10" max="10" width="17.140625" style="52" customWidth="1"/>
    <col min="11" max="11" width="11" style="52" customWidth="1"/>
    <col min="12" max="12" width="10.140625" style="52" customWidth="1"/>
    <col min="13" max="16384" width="9.140625" style="52"/>
  </cols>
  <sheetData>
    <row r="3" spans="1:17">
      <c r="A3" s="52" t="s">
        <v>410</v>
      </c>
      <c r="O3" s="53" t="s">
        <v>411</v>
      </c>
      <c r="P3" s="54" t="s">
        <v>412</v>
      </c>
      <c r="Q3" s="55"/>
    </row>
    <row r="4" spans="1:17">
      <c r="O4" s="52">
        <v>75</v>
      </c>
      <c r="P4" s="52">
        <v>6</v>
      </c>
      <c r="Q4" s="52">
        <v>6</v>
      </c>
    </row>
    <row r="5" spans="1:17">
      <c r="A5" s="52" t="s">
        <v>413</v>
      </c>
      <c r="O5" s="52">
        <v>63</v>
      </c>
      <c r="P5" s="52">
        <v>11</v>
      </c>
      <c r="Q5" s="52">
        <v>8</v>
      </c>
    </row>
    <row r="6" spans="1:17">
      <c r="A6" s="56" t="s">
        <v>414</v>
      </c>
      <c r="B6" s="57"/>
      <c r="C6" s="57"/>
      <c r="D6" s="57"/>
      <c r="E6" s="57"/>
      <c r="F6" s="55"/>
      <c r="G6" s="56" t="s">
        <v>415</v>
      </c>
      <c r="H6" s="57"/>
      <c r="I6" s="57"/>
      <c r="J6" s="57"/>
      <c r="K6" s="57"/>
      <c r="L6" s="55"/>
      <c r="P6" s="52">
        <v>7</v>
      </c>
      <c r="Q6" s="52">
        <v>6</v>
      </c>
    </row>
    <row r="7" spans="1:17">
      <c r="A7" s="56" t="s">
        <v>416</v>
      </c>
      <c r="B7" s="57"/>
      <c r="C7" s="57"/>
      <c r="D7" s="57"/>
      <c r="E7" s="56" t="s">
        <v>417</v>
      </c>
      <c r="F7" s="58">
        <f>1142-155</f>
        <v>987</v>
      </c>
      <c r="G7" s="59" t="s">
        <v>107</v>
      </c>
      <c r="H7" s="60"/>
      <c r="I7" s="60"/>
      <c r="J7" s="61"/>
      <c r="K7" s="60"/>
      <c r="L7" s="59"/>
      <c r="P7" s="52">
        <v>6</v>
      </c>
      <c r="Q7" s="52">
        <v>6</v>
      </c>
    </row>
    <row r="8" spans="1:17">
      <c r="A8" s="62" t="s">
        <v>418</v>
      </c>
      <c r="B8" s="63">
        <v>2.2000000000000002</v>
      </c>
      <c r="C8" s="52" t="s">
        <v>419</v>
      </c>
      <c r="F8" s="64"/>
      <c r="G8" s="62" t="s">
        <v>418</v>
      </c>
      <c r="H8" s="63">
        <v>0.2</v>
      </c>
      <c r="I8" s="52" t="s">
        <v>419</v>
      </c>
      <c r="L8" s="64"/>
      <c r="P8" s="52">
        <v>0</v>
      </c>
      <c r="Q8" s="52">
        <v>0</v>
      </c>
    </row>
    <row r="9" spans="1:17">
      <c r="A9" s="62" t="s">
        <v>420</v>
      </c>
      <c r="B9" s="63">
        <v>2</v>
      </c>
      <c r="C9" s="52" t="s">
        <v>419</v>
      </c>
      <c r="F9" s="64"/>
      <c r="G9" s="62" t="s">
        <v>420</v>
      </c>
      <c r="H9" s="63">
        <v>2</v>
      </c>
      <c r="I9" s="52" t="s">
        <v>419</v>
      </c>
      <c r="L9" s="64"/>
      <c r="P9" s="52">
        <v>0</v>
      </c>
      <c r="Q9" s="52">
        <v>0</v>
      </c>
    </row>
    <row r="10" spans="1:17">
      <c r="A10" s="65" t="s">
        <v>421</v>
      </c>
      <c r="B10" s="66">
        <v>1</v>
      </c>
      <c r="C10" s="67" t="s">
        <v>419</v>
      </c>
      <c r="D10" s="67"/>
      <c r="E10" s="67"/>
      <c r="F10" s="68"/>
      <c r="G10" s="65" t="s">
        <v>421</v>
      </c>
      <c r="H10" s="66">
        <v>1</v>
      </c>
      <c r="I10" s="67" t="s">
        <v>419</v>
      </c>
      <c r="J10" s="67"/>
      <c r="K10" s="67"/>
      <c r="L10" s="68"/>
      <c r="O10" s="69">
        <f>SUM(O4:O9)</f>
        <v>138</v>
      </c>
      <c r="P10" s="70">
        <f>SUM(P4:P9)</f>
        <v>30</v>
      </c>
      <c r="Q10" s="52">
        <v>0</v>
      </c>
    </row>
    <row r="11" spans="1:17">
      <c r="A11" s="54" t="s">
        <v>41</v>
      </c>
      <c r="B11" s="58">
        <f>B8*B9*B10</f>
        <v>4.4000000000000004</v>
      </c>
      <c r="C11" s="60" t="s">
        <v>422</v>
      </c>
      <c r="D11" s="57" t="s">
        <v>423</v>
      </c>
      <c r="E11" s="71">
        <f>B11*1.2</f>
        <v>5.28</v>
      </c>
      <c r="F11" s="59" t="s">
        <v>422</v>
      </c>
      <c r="G11" s="54" t="s">
        <v>41</v>
      </c>
      <c r="H11" s="58">
        <f>H8*H9*H10</f>
        <v>0.4</v>
      </c>
      <c r="I11" s="60" t="s">
        <v>422</v>
      </c>
      <c r="J11" s="57" t="s">
        <v>423</v>
      </c>
      <c r="K11" s="71">
        <f>H11*1.2</f>
        <v>0.48</v>
      </c>
      <c r="L11" s="59" t="s">
        <v>422</v>
      </c>
      <c r="Q11" s="70">
        <f>SUM(Q4:Q10)</f>
        <v>26</v>
      </c>
    </row>
    <row r="12" spans="1:17">
      <c r="A12" s="56" t="s">
        <v>424</v>
      </c>
      <c r="B12" s="57"/>
      <c r="C12" s="57"/>
      <c r="D12" s="57"/>
      <c r="E12" s="56" t="s">
        <v>417</v>
      </c>
      <c r="F12" s="58">
        <f>690-72</f>
        <v>618</v>
      </c>
      <c r="G12" s="59" t="s">
        <v>107</v>
      </c>
      <c r="H12" s="57"/>
      <c r="I12" s="57"/>
      <c r="J12" s="57"/>
      <c r="K12" s="57"/>
      <c r="L12" s="55"/>
      <c r="N12" s="52">
        <f>3.3-2+1.2</f>
        <v>2.5</v>
      </c>
      <c r="P12" s="52">
        <v>6</v>
      </c>
    </row>
    <row r="13" spans="1:17">
      <c r="A13" s="62" t="s">
        <v>418</v>
      </c>
      <c r="B13" s="63">
        <v>1.05</v>
      </c>
      <c r="C13" s="52" t="s">
        <v>419</v>
      </c>
      <c r="F13" s="64"/>
      <c r="G13" s="62" t="s">
        <v>418</v>
      </c>
      <c r="H13" s="63">
        <v>0.2</v>
      </c>
      <c r="I13" s="52" t="s">
        <v>419</v>
      </c>
      <c r="L13" s="64"/>
      <c r="N13" s="52">
        <f>3.5-2+1.2</f>
        <v>2.7</v>
      </c>
      <c r="P13" s="52">
        <v>6</v>
      </c>
      <c r="Q13" s="52">
        <v>7</v>
      </c>
    </row>
    <row r="14" spans="1:17">
      <c r="A14" s="62" t="s">
        <v>420</v>
      </c>
      <c r="B14" s="63">
        <v>1.4</v>
      </c>
      <c r="C14" s="52" t="s">
        <v>419</v>
      </c>
      <c r="F14" s="64"/>
      <c r="G14" s="62" t="s">
        <v>420</v>
      </c>
      <c r="H14" s="63">
        <v>1.4</v>
      </c>
      <c r="I14" s="52" t="s">
        <v>419</v>
      </c>
      <c r="L14" s="64"/>
      <c r="P14" s="52">
        <v>5</v>
      </c>
      <c r="Q14" s="52">
        <v>10</v>
      </c>
    </row>
    <row r="15" spans="1:17">
      <c r="A15" s="65" t="s">
        <v>421</v>
      </c>
      <c r="B15" s="66">
        <v>1</v>
      </c>
      <c r="C15" s="67" t="s">
        <v>419</v>
      </c>
      <c r="D15" s="67"/>
      <c r="E15" s="67"/>
      <c r="F15" s="68"/>
      <c r="G15" s="65" t="s">
        <v>421</v>
      </c>
      <c r="H15" s="66">
        <v>1</v>
      </c>
      <c r="I15" s="67" t="s">
        <v>419</v>
      </c>
      <c r="J15" s="67"/>
      <c r="K15" s="67"/>
      <c r="L15" s="68"/>
      <c r="P15" s="52">
        <v>5</v>
      </c>
      <c r="Q15" s="70">
        <f>SUM(Q13:Q14)</f>
        <v>17</v>
      </c>
    </row>
    <row r="16" spans="1:17">
      <c r="A16" s="54" t="s">
        <v>41</v>
      </c>
      <c r="B16" s="58">
        <f>B13*B14*B15</f>
        <v>1.47</v>
      </c>
      <c r="C16" s="60" t="s">
        <v>422</v>
      </c>
      <c r="D16" s="57" t="s">
        <v>423</v>
      </c>
      <c r="E16" s="71">
        <f>B16*1.2</f>
        <v>1.764</v>
      </c>
      <c r="F16" s="59" t="s">
        <v>422</v>
      </c>
      <c r="G16" s="54" t="s">
        <v>41</v>
      </c>
      <c r="H16" s="58">
        <f>H13*H14*H15</f>
        <v>0.27999999999999997</v>
      </c>
      <c r="I16" s="60" t="s">
        <v>422</v>
      </c>
      <c r="J16" s="57" t="s">
        <v>423</v>
      </c>
      <c r="K16" s="71">
        <f>H16*1.2</f>
        <v>0.33599999999999997</v>
      </c>
      <c r="L16" s="59" t="s">
        <v>422</v>
      </c>
      <c r="P16" s="52">
        <v>0</v>
      </c>
    </row>
    <row r="17" spans="1:17">
      <c r="A17" s="56" t="s">
        <v>425</v>
      </c>
      <c r="B17" s="57"/>
      <c r="C17" s="57"/>
      <c r="D17" s="57"/>
      <c r="E17" s="56" t="s">
        <v>417</v>
      </c>
      <c r="F17" s="58" t="e" vm="1">
        <f>'[13]MEMO GUSMÃO'!F91+'[13]MEMO BELA VISTA'!F24+'[13]MEMO RECANTO AZUL'!F19</f>
        <v>#VALUE!</v>
      </c>
      <c r="G17" s="59" t="s">
        <v>107</v>
      </c>
      <c r="H17" s="57"/>
      <c r="I17" s="57"/>
      <c r="J17" s="57"/>
      <c r="K17" s="57"/>
      <c r="L17" s="55"/>
      <c r="P17" s="52">
        <v>0</v>
      </c>
      <c r="Q17" s="52">
        <v>8</v>
      </c>
    </row>
    <row r="18" spans="1:17">
      <c r="A18" s="62" t="s">
        <v>418</v>
      </c>
      <c r="B18" s="63">
        <v>2.5</v>
      </c>
      <c r="C18" s="52" t="s">
        <v>419</v>
      </c>
      <c r="F18" s="64"/>
      <c r="G18" s="62" t="s">
        <v>418</v>
      </c>
      <c r="H18" s="63">
        <v>0.2</v>
      </c>
      <c r="I18" s="52" t="s">
        <v>419</v>
      </c>
      <c r="L18" s="64"/>
      <c r="P18" s="52">
        <v>0</v>
      </c>
      <c r="Q18" s="52">
        <v>6</v>
      </c>
    </row>
    <row r="19" spans="1:17">
      <c r="A19" s="62" t="s">
        <v>420</v>
      </c>
      <c r="B19" s="63">
        <v>2.7</v>
      </c>
      <c r="C19" s="52" t="s">
        <v>419</v>
      </c>
      <c r="F19" s="64"/>
      <c r="G19" s="62" t="s">
        <v>420</v>
      </c>
      <c r="H19" s="63">
        <v>2.7</v>
      </c>
      <c r="I19" s="52" t="s">
        <v>419</v>
      </c>
      <c r="L19" s="64"/>
      <c r="P19" s="52">
        <v>0</v>
      </c>
      <c r="Q19" s="70">
        <f>SUM(Q17:Q18)</f>
        <v>14</v>
      </c>
    </row>
    <row r="20" spans="1:17">
      <c r="A20" s="65" t="s">
        <v>421</v>
      </c>
      <c r="B20" s="66">
        <v>1</v>
      </c>
      <c r="C20" s="67" t="s">
        <v>419</v>
      </c>
      <c r="D20" s="67"/>
      <c r="E20" s="67"/>
      <c r="F20" s="68"/>
      <c r="G20" s="65" t="s">
        <v>421</v>
      </c>
      <c r="H20" s="66">
        <v>1</v>
      </c>
      <c r="I20" s="67" t="s">
        <v>419</v>
      </c>
      <c r="J20" s="67"/>
      <c r="K20" s="67"/>
      <c r="L20" s="68"/>
      <c r="O20" s="70"/>
      <c r="P20" s="70">
        <f>SUM(P12:P19)</f>
        <v>22</v>
      </c>
    </row>
    <row r="21" spans="1:17">
      <c r="A21" s="54" t="s">
        <v>41</v>
      </c>
      <c r="B21" s="58">
        <f>B18*B19*B20</f>
        <v>6.75</v>
      </c>
      <c r="C21" s="60" t="s">
        <v>422</v>
      </c>
      <c r="D21" s="57" t="s">
        <v>423</v>
      </c>
      <c r="E21" s="71">
        <f>B21*1.2</f>
        <v>8.1</v>
      </c>
      <c r="F21" s="59" t="s">
        <v>422</v>
      </c>
      <c r="G21" s="54" t="s">
        <v>41</v>
      </c>
      <c r="H21" s="58">
        <f>H18*H19*H20</f>
        <v>0.54</v>
      </c>
      <c r="I21" s="60" t="s">
        <v>422</v>
      </c>
      <c r="J21" s="57" t="s">
        <v>423</v>
      </c>
      <c r="K21" s="71">
        <f>H21*1.2</f>
        <v>0.64800000000000002</v>
      </c>
      <c r="L21" s="59" t="s">
        <v>422</v>
      </c>
      <c r="P21" s="72" t="s">
        <v>426</v>
      </c>
      <c r="Q21" s="59">
        <f>P10+Q11+P20+Q15+Q19</f>
        <v>109</v>
      </c>
    </row>
    <row r="22" spans="1:17">
      <c r="A22" s="56" t="s">
        <v>427</v>
      </c>
      <c r="B22" s="57"/>
      <c r="C22" s="57"/>
      <c r="D22" s="57"/>
      <c r="E22" s="56" t="s">
        <v>417</v>
      </c>
      <c r="F22" s="58">
        <v>0</v>
      </c>
      <c r="G22" s="59" t="s">
        <v>107</v>
      </c>
      <c r="H22" s="57"/>
      <c r="I22" s="57"/>
      <c r="J22" s="57"/>
      <c r="K22" s="57"/>
      <c r="L22" s="55"/>
    </row>
    <row r="23" spans="1:17">
      <c r="A23" s="62" t="s">
        <v>418</v>
      </c>
      <c r="B23" s="63">
        <v>2.2999999999999998</v>
      </c>
      <c r="C23" s="52" t="s">
        <v>419</v>
      </c>
      <c r="F23" s="64"/>
      <c r="G23" s="62" t="s">
        <v>418</v>
      </c>
      <c r="H23" s="63">
        <v>0.2</v>
      </c>
      <c r="I23" s="52" t="s">
        <v>419</v>
      </c>
      <c r="L23" s="64"/>
      <c r="O23" s="54" t="s">
        <v>428</v>
      </c>
      <c r="P23" s="57"/>
      <c r="Q23" s="55"/>
    </row>
    <row r="24" spans="1:17">
      <c r="A24" s="62" t="s">
        <v>420</v>
      </c>
      <c r="B24" s="63">
        <v>1.8</v>
      </c>
      <c r="C24" s="52" t="s">
        <v>419</v>
      </c>
      <c r="F24" s="64"/>
      <c r="G24" s="62" t="s">
        <v>420</v>
      </c>
      <c r="H24" s="63">
        <v>1.8</v>
      </c>
      <c r="I24" s="52" t="s">
        <v>419</v>
      </c>
      <c r="L24" s="64"/>
      <c r="O24" s="52">
        <v>127</v>
      </c>
    </row>
    <row r="25" spans="1:17">
      <c r="A25" s="65" t="s">
        <v>421</v>
      </c>
      <c r="B25" s="66">
        <v>1</v>
      </c>
      <c r="C25" s="67" t="s">
        <v>419</v>
      </c>
      <c r="D25" s="67"/>
      <c r="E25" s="67"/>
      <c r="F25" s="68"/>
      <c r="G25" s="65" t="s">
        <v>421</v>
      </c>
      <c r="H25" s="66">
        <v>1</v>
      </c>
      <c r="I25" s="67" t="s">
        <v>419</v>
      </c>
      <c r="J25" s="67"/>
      <c r="K25" s="67"/>
      <c r="L25" s="68"/>
      <c r="O25" s="52">
        <v>125</v>
      </c>
    </row>
    <row r="26" spans="1:17">
      <c r="A26" s="73" t="s">
        <v>41</v>
      </c>
      <c r="B26" s="74">
        <f>B23*B24*B25</f>
        <v>4.1399999999999997</v>
      </c>
      <c r="C26" s="75" t="s">
        <v>422</v>
      </c>
      <c r="D26" s="76" t="s">
        <v>423</v>
      </c>
      <c r="E26" s="77">
        <f>B26*1.2</f>
        <v>4.9679999999999991</v>
      </c>
      <c r="F26" s="78" t="s">
        <v>422</v>
      </c>
      <c r="G26" s="73" t="s">
        <v>41</v>
      </c>
      <c r="H26" s="74">
        <f>H23*H24*H25</f>
        <v>0.36000000000000004</v>
      </c>
      <c r="I26" s="75" t="s">
        <v>422</v>
      </c>
      <c r="J26" s="76" t="s">
        <v>423</v>
      </c>
      <c r="K26" s="77">
        <f>H26*1.2</f>
        <v>0.43200000000000005</v>
      </c>
      <c r="L26" s="78" t="s">
        <v>422</v>
      </c>
    </row>
    <row r="27" spans="1:17">
      <c r="A27" s="54" t="s">
        <v>429</v>
      </c>
      <c r="B27" s="79">
        <f>F7*E11</f>
        <v>5211.3600000000006</v>
      </c>
      <c r="C27" s="80"/>
      <c r="D27" s="55" t="s">
        <v>422</v>
      </c>
      <c r="E27" s="81"/>
      <c r="F27" s="78"/>
      <c r="G27" s="57" t="s">
        <v>429</v>
      </c>
      <c r="H27" s="79">
        <f>F7*K11</f>
        <v>473.76</v>
      </c>
      <c r="I27" s="80"/>
      <c r="J27" s="57" t="s">
        <v>422</v>
      </c>
      <c r="K27" s="81"/>
      <c r="L27" s="78"/>
    </row>
    <row r="28" spans="1:17">
      <c r="A28" s="54" t="s">
        <v>430</v>
      </c>
      <c r="B28" s="79">
        <f>F12*E16</f>
        <v>1090.152</v>
      </c>
      <c r="C28" s="80"/>
      <c r="D28" s="55" t="s">
        <v>422</v>
      </c>
      <c r="E28" s="82" t="s">
        <v>431</v>
      </c>
      <c r="F28" s="83"/>
      <c r="G28" s="57" t="s">
        <v>430</v>
      </c>
      <c r="H28" s="79">
        <f>F12*K16</f>
        <v>207.64799999999997</v>
      </c>
      <c r="I28" s="80"/>
      <c r="J28" s="57" t="s">
        <v>422</v>
      </c>
      <c r="K28" s="82" t="s">
        <v>431</v>
      </c>
      <c r="L28" s="83"/>
    </row>
    <row r="29" spans="1:17">
      <c r="A29" s="54" t="s">
        <v>432</v>
      </c>
      <c r="B29" s="79" t="e" vm="2">
        <f>F17*E21</f>
        <v>#VALUE!</v>
      </c>
      <c r="C29" s="80"/>
      <c r="D29" s="55" t="s">
        <v>422</v>
      </c>
      <c r="E29" s="82" t="s">
        <v>433</v>
      </c>
      <c r="F29" s="83"/>
      <c r="G29" s="57" t="s">
        <v>432</v>
      </c>
      <c r="H29" s="79" t="e" vm="2">
        <f>F17*K21</f>
        <v>#VALUE!</v>
      </c>
      <c r="I29" s="80"/>
      <c r="J29" s="57" t="s">
        <v>422</v>
      </c>
      <c r="K29" s="82" t="s">
        <v>434</v>
      </c>
      <c r="L29" s="83"/>
    </row>
    <row r="30" spans="1:17">
      <c r="A30" s="54" t="s">
        <v>435</v>
      </c>
      <c r="B30" s="79">
        <f>F22*E26</f>
        <v>0</v>
      </c>
      <c r="C30" s="80"/>
      <c r="D30" s="55" t="s">
        <v>422</v>
      </c>
      <c r="E30" s="82"/>
      <c r="F30" s="83"/>
      <c r="G30" s="57" t="s">
        <v>435</v>
      </c>
      <c r="H30" s="79">
        <f>F22*K26</f>
        <v>0</v>
      </c>
      <c r="I30" s="80"/>
      <c r="J30" s="57" t="s">
        <v>422</v>
      </c>
      <c r="K30" s="82"/>
      <c r="L30" s="83"/>
      <c r="O30" s="69">
        <f>SUM(O24:O29)</f>
        <v>252</v>
      </c>
    </row>
    <row r="31" spans="1:17">
      <c r="A31" s="56" t="s">
        <v>436</v>
      </c>
      <c r="B31" s="71" t="e" vm="2">
        <f>B27+B28+B29+B30</f>
        <v>#VALUE!</v>
      </c>
      <c r="C31" s="60"/>
      <c r="D31" s="59" t="s">
        <v>422</v>
      </c>
      <c r="E31" s="84"/>
      <c r="F31" s="85"/>
      <c r="G31" s="56" t="s">
        <v>41</v>
      </c>
      <c r="H31" s="71" t="e" vm="2">
        <f>H27+H28+H29+H30</f>
        <v>#VALUE!</v>
      </c>
      <c r="I31" s="60"/>
      <c r="J31" s="59" t="s">
        <v>422</v>
      </c>
      <c r="K31" s="84"/>
      <c r="L31" s="85"/>
    </row>
    <row r="43" spans="1:17">
      <c r="A43" s="52" t="s">
        <v>410</v>
      </c>
    </row>
    <row r="45" spans="1:17">
      <c r="A45" s="52" t="s">
        <v>413</v>
      </c>
      <c r="O45" s="52">
        <v>63</v>
      </c>
      <c r="P45" s="52">
        <v>11</v>
      </c>
      <c r="Q45" s="52">
        <v>8</v>
      </c>
    </row>
    <row r="46" spans="1:17">
      <c r="A46" s="52" t="s">
        <v>437</v>
      </c>
      <c r="G46" s="52" t="s">
        <v>438</v>
      </c>
    </row>
    <row r="47" spans="1:17">
      <c r="A47" s="56" t="s">
        <v>416</v>
      </c>
      <c r="B47" s="57"/>
      <c r="C47" s="57"/>
      <c r="D47" s="57"/>
      <c r="E47" s="56" t="s">
        <v>417</v>
      </c>
      <c r="F47" s="58">
        <f>1142-155</f>
        <v>987</v>
      </c>
      <c r="G47" s="59" t="s">
        <v>107</v>
      </c>
      <c r="H47" s="60"/>
      <c r="I47" s="60"/>
      <c r="J47" s="61"/>
      <c r="K47" s="60"/>
      <c r="L47" s="59"/>
    </row>
    <row r="48" spans="1:17">
      <c r="A48" s="62" t="s">
        <v>418</v>
      </c>
      <c r="B48" s="63">
        <v>0.2</v>
      </c>
      <c r="C48" s="52" t="s">
        <v>419</v>
      </c>
      <c r="F48" s="64"/>
      <c r="G48" s="62" t="s">
        <v>418</v>
      </c>
      <c r="H48" s="63">
        <v>0.2</v>
      </c>
      <c r="I48" s="52" t="s">
        <v>419</v>
      </c>
      <c r="L48" s="64"/>
    </row>
    <row r="49" spans="1:12">
      <c r="A49" s="62" t="s">
        <v>420</v>
      </c>
      <c r="B49" s="63">
        <v>2</v>
      </c>
      <c r="C49" s="52" t="s">
        <v>419</v>
      </c>
      <c r="F49" s="64"/>
      <c r="G49" s="62" t="s">
        <v>420</v>
      </c>
      <c r="H49" s="63">
        <v>2</v>
      </c>
      <c r="I49" s="52" t="s">
        <v>419</v>
      </c>
      <c r="L49" s="64"/>
    </row>
    <row r="50" spans="1:12">
      <c r="A50" s="65" t="s">
        <v>421</v>
      </c>
      <c r="B50" s="66">
        <v>1</v>
      </c>
      <c r="C50" s="67" t="s">
        <v>419</v>
      </c>
      <c r="D50" s="67"/>
      <c r="E50" s="67"/>
      <c r="F50" s="68"/>
      <c r="G50" s="65" t="s">
        <v>421</v>
      </c>
      <c r="H50" s="66">
        <v>1</v>
      </c>
      <c r="I50" s="67" t="s">
        <v>419</v>
      </c>
      <c r="J50" s="67"/>
      <c r="K50" s="67"/>
      <c r="L50" s="68"/>
    </row>
    <row r="51" spans="1:12">
      <c r="A51" s="54" t="s">
        <v>41</v>
      </c>
      <c r="B51" s="58">
        <f>B48*B49*B50</f>
        <v>0.4</v>
      </c>
      <c r="C51" s="60" t="s">
        <v>422</v>
      </c>
      <c r="D51" s="57" t="s">
        <v>423</v>
      </c>
      <c r="E51" s="71">
        <f>B51*1.2</f>
        <v>0.48</v>
      </c>
      <c r="F51" s="59" t="s">
        <v>422</v>
      </c>
      <c r="G51" s="54" t="s">
        <v>41</v>
      </c>
      <c r="H51" s="58">
        <f>H48*H49*H50</f>
        <v>0.4</v>
      </c>
      <c r="I51" s="60" t="s">
        <v>422</v>
      </c>
      <c r="J51" s="57" t="s">
        <v>423</v>
      </c>
      <c r="K51" s="71">
        <f>H51*1.2</f>
        <v>0.48</v>
      </c>
      <c r="L51" s="59" t="s">
        <v>422</v>
      </c>
    </row>
    <row r="52" spans="1:12">
      <c r="A52" s="56" t="s">
        <v>424</v>
      </c>
      <c r="B52" s="57"/>
      <c r="C52" s="57"/>
      <c r="D52" s="57"/>
      <c r="E52" s="56" t="s">
        <v>417</v>
      </c>
      <c r="F52" s="58">
        <f>690-72</f>
        <v>618</v>
      </c>
      <c r="G52" s="59" t="s">
        <v>107</v>
      </c>
      <c r="H52" s="57"/>
      <c r="I52" s="57"/>
      <c r="J52" s="57"/>
      <c r="K52" s="57"/>
      <c r="L52" s="55"/>
    </row>
    <row r="53" spans="1:12">
      <c r="A53" s="62" t="s">
        <v>418</v>
      </c>
      <c r="B53" s="63">
        <v>0.2</v>
      </c>
      <c r="C53" s="52" t="s">
        <v>419</v>
      </c>
      <c r="F53" s="64"/>
      <c r="G53" s="62" t="s">
        <v>418</v>
      </c>
      <c r="H53" s="63">
        <v>0.2</v>
      </c>
      <c r="I53" s="52" t="s">
        <v>419</v>
      </c>
      <c r="L53" s="64"/>
    </row>
    <row r="54" spans="1:12">
      <c r="A54" s="62" t="s">
        <v>420</v>
      </c>
      <c r="B54" s="63">
        <v>1.4</v>
      </c>
      <c r="C54" s="52" t="s">
        <v>419</v>
      </c>
      <c r="F54" s="64"/>
      <c r="G54" s="62" t="s">
        <v>420</v>
      </c>
      <c r="H54" s="63">
        <v>1.4</v>
      </c>
      <c r="I54" s="52" t="s">
        <v>419</v>
      </c>
      <c r="L54" s="64"/>
    </row>
    <row r="55" spans="1:12">
      <c r="A55" s="65" t="s">
        <v>421</v>
      </c>
      <c r="B55" s="66">
        <v>1</v>
      </c>
      <c r="C55" s="67" t="s">
        <v>419</v>
      </c>
      <c r="D55" s="67"/>
      <c r="E55" s="67"/>
      <c r="F55" s="68"/>
      <c r="G55" s="65" t="s">
        <v>421</v>
      </c>
      <c r="H55" s="66">
        <v>1</v>
      </c>
      <c r="I55" s="67" t="s">
        <v>419</v>
      </c>
      <c r="J55" s="67"/>
      <c r="K55" s="67"/>
      <c r="L55" s="68"/>
    </row>
    <row r="56" spans="1:12">
      <c r="A56" s="54" t="s">
        <v>41</v>
      </c>
      <c r="B56" s="58">
        <f>B53*B54*B55</f>
        <v>0.27999999999999997</v>
      </c>
      <c r="C56" s="60" t="s">
        <v>422</v>
      </c>
      <c r="D56" s="57" t="s">
        <v>423</v>
      </c>
      <c r="E56" s="71">
        <f>B56*1.2</f>
        <v>0.33599999999999997</v>
      </c>
      <c r="F56" s="59" t="s">
        <v>422</v>
      </c>
      <c r="G56" s="54" t="s">
        <v>41</v>
      </c>
      <c r="H56" s="58">
        <f>H53*H54*H55</f>
        <v>0.27999999999999997</v>
      </c>
      <c r="I56" s="60" t="s">
        <v>422</v>
      </c>
      <c r="J56" s="57" t="s">
        <v>423</v>
      </c>
      <c r="K56" s="71">
        <f>H56*1.2</f>
        <v>0.33599999999999997</v>
      </c>
      <c r="L56" s="59" t="s">
        <v>422</v>
      </c>
    </row>
    <row r="57" spans="1:12">
      <c r="A57" s="56" t="s">
        <v>425</v>
      </c>
      <c r="B57" s="57"/>
      <c r="C57" s="57"/>
      <c r="D57" s="57"/>
      <c r="E57" s="56" t="s">
        <v>417</v>
      </c>
      <c r="F57" s="58">
        <v>88</v>
      </c>
      <c r="G57" s="59" t="s">
        <v>107</v>
      </c>
      <c r="H57" s="57"/>
      <c r="I57" s="57"/>
      <c r="J57" s="57"/>
      <c r="K57" s="57"/>
      <c r="L57" s="55"/>
    </row>
    <row r="58" spans="1:12">
      <c r="A58" s="62" t="s">
        <v>418</v>
      </c>
      <c r="B58" s="63">
        <v>0.2</v>
      </c>
      <c r="C58" s="52" t="s">
        <v>419</v>
      </c>
      <c r="F58" s="64"/>
      <c r="G58" s="62" t="s">
        <v>418</v>
      </c>
      <c r="H58" s="63">
        <v>0.2</v>
      </c>
      <c r="I58" s="52" t="s">
        <v>419</v>
      </c>
      <c r="L58" s="64"/>
    </row>
    <row r="59" spans="1:12">
      <c r="A59" s="62" t="s">
        <v>420</v>
      </c>
      <c r="B59" s="63">
        <v>2.6</v>
      </c>
      <c r="C59" s="52" t="s">
        <v>419</v>
      </c>
      <c r="F59" s="64"/>
      <c r="G59" s="62" t="s">
        <v>420</v>
      </c>
      <c r="H59" s="63">
        <v>2.6</v>
      </c>
      <c r="I59" s="52" t="s">
        <v>419</v>
      </c>
      <c r="L59" s="64"/>
    </row>
    <row r="60" spans="1:12">
      <c r="A60" s="65" t="s">
        <v>421</v>
      </c>
      <c r="B60" s="66">
        <v>1</v>
      </c>
      <c r="C60" s="67" t="s">
        <v>419</v>
      </c>
      <c r="D60" s="67"/>
      <c r="E60" s="67"/>
      <c r="F60" s="68"/>
      <c r="G60" s="65" t="s">
        <v>421</v>
      </c>
      <c r="H60" s="66">
        <v>1</v>
      </c>
      <c r="I60" s="67" t="s">
        <v>419</v>
      </c>
      <c r="J60" s="67"/>
      <c r="K60" s="67"/>
      <c r="L60" s="68"/>
    </row>
    <row r="61" spans="1:12">
      <c r="A61" s="54" t="s">
        <v>41</v>
      </c>
      <c r="B61" s="58">
        <f>B58*B59*B60</f>
        <v>0.52</v>
      </c>
      <c r="C61" s="60" t="s">
        <v>422</v>
      </c>
      <c r="D61" s="57" t="s">
        <v>423</v>
      </c>
      <c r="E61" s="71">
        <f>B61*1.2</f>
        <v>0.624</v>
      </c>
      <c r="F61" s="59" t="s">
        <v>422</v>
      </c>
      <c r="G61" s="54" t="s">
        <v>41</v>
      </c>
      <c r="H61" s="58">
        <f>H58*H59*H60</f>
        <v>0.52</v>
      </c>
      <c r="I61" s="60" t="s">
        <v>422</v>
      </c>
      <c r="J61" s="57" t="s">
        <v>423</v>
      </c>
      <c r="K61" s="71">
        <f>H61*1.2</f>
        <v>0.624</v>
      </c>
      <c r="L61" s="59" t="s">
        <v>422</v>
      </c>
    </row>
    <row r="62" spans="1:12">
      <c r="A62" s="56" t="s">
        <v>427</v>
      </c>
      <c r="B62" s="57"/>
      <c r="C62" s="57"/>
      <c r="D62" s="57"/>
      <c r="E62" s="56" t="s">
        <v>417</v>
      </c>
      <c r="F62" s="58">
        <v>0</v>
      </c>
      <c r="G62" s="59" t="s">
        <v>107</v>
      </c>
      <c r="H62" s="57"/>
      <c r="I62" s="57"/>
      <c r="J62" s="57"/>
      <c r="K62" s="57"/>
      <c r="L62" s="55"/>
    </row>
    <row r="63" spans="1:12">
      <c r="A63" s="62" t="s">
        <v>418</v>
      </c>
      <c r="B63" s="63">
        <v>0.2</v>
      </c>
      <c r="C63" s="52" t="s">
        <v>419</v>
      </c>
      <c r="F63" s="64"/>
      <c r="G63" s="62" t="s">
        <v>418</v>
      </c>
      <c r="H63" s="63">
        <v>0.2</v>
      </c>
      <c r="I63" s="52" t="s">
        <v>419</v>
      </c>
      <c r="L63" s="64"/>
    </row>
    <row r="64" spans="1:12">
      <c r="A64" s="62" t="s">
        <v>420</v>
      </c>
      <c r="B64" s="63">
        <v>1.8</v>
      </c>
      <c r="C64" s="52" t="s">
        <v>419</v>
      </c>
      <c r="F64" s="64"/>
      <c r="G64" s="62" t="s">
        <v>420</v>
      </c>
      <c r="H64" s="63">
        <v>1.8</v>
      </c>
      <c r="I64" s="52" t="s">
        <v>419</v>
      </c>
      <c r="L64" s="64"/>
    </row>
    <row r="65" spans="1:12">
      <c r="A65" s="65" t="s">
        <v>421</v>
      </c>
      <c r="B65" s="66">
        <v>1</v>
      </c>
      <c r="C65" s="67" t="s">
        <v>419</v>
      </c>
      <c r="D65" s="67"/>
      <c r="E65" s="67"/>
      <c r="F65" s="68"/>
      <c r="G65" s="65" t="s">
        <v>421</v>
      </c>
      <c r="H65" s="66">
        <v>1</v>
      </c>
      <c r="I65" s="67" t="s">
        <v>419</v>
      </c>
      <c r="J65" s="67"/>
      <c r="K65" s="67"/>
      <c r="L65" s="68"/>
    </row>
    <row r="66" spans="1:12">
      <c r="A66" s="73" t="s">
        <v>41</v>
      </c>
      <c r="B66" s="74">
        <f>B63*B64*B65</f>
        <v>0.36000000000000004</v>
      </c>
      <c r="C66" s="75" t="s">
        <v>422</v>
      </c>
      <c r="D66" s="76" t="s">
        <v>423</v>
      </c>
      <c r="E66" s="77">
        <f>B66*1.2</f>
        <v>0.43200000000000005</v>
      </c>
      <c r="F66" s="78" t="s">
        <v>422</v>
      </c>
      <c r="G66" s="73" t="s">
        <v>41</v>
      </c>
      <c r="H66" s="74">
        <f>H63*H64*H65</f>
        <v>0.36000000000000004</v>
      </c>
      <c r="I66" s="75" t="s">
        <v>422</v>
      </c>
      <c r="J66" s="76" t="s">
        <v>423</v>
      </c>
      <c r="K66" s="77">
        <f>H66*1.2</f>
        <v>0.43200000000000005</v>
      </c>
      <c r="L66" s="78" t="s">
        <v>422</v>
      </c>
    </row>
    <row r="67" spans="1:12">
      <c r="A67" s="54" t="s">
        <v>429</v>
      </c>
      <c r="B67" s="79">
        <f>F47*E51</f>
        <v>473.76</v>
      </c>
      <c r="C67" s="80"/>
      <c r="D67" s="55" t="s">
        <v>422</v>
      </c>
      <c r="E67" s="81"/>
      <c r="F67" s="78"/>
      <c r="G67" s="57" t="s">
        <v>429</v>
      </c>
      <c r="H67" s="79">
        <f>F47*K51</f>
        <v>473.76</v>
      </c>
      <c r="I67" s="80"/>
      <c r="J67" s="57" t="s">
        <v>422</v>
      </c>
      <c r="K67" s="81"/>
      <c r="L67" s="78"/>
    </row>
    <row r="68" spans="1:12">
      <c r="A68" s="54" t="s">
        <v>430</v>
      </c>
      <c r="B68" s="79">
        <f>F52*E56</f>
        <v>207.64799999999997</v>
      </c>
      <c r="C68" s="80"/>
      <c r="D68" s="55" t="s">
        <v>422</v>
      </c>
      <c r="E68" s="82" t="s">
        <v>439</v>
      </c>
      <c r="F68" s="83"/>
      <c r="G68" s="57" t="s">
        <v>430</v>
      </c>
      <c r="H68" s="79">
        <f>F52*K56</f>
        <v>207.64799999999997</v>
      </c>
      <c r="I68" s="80"/>
      <c r="J68" s="57" t="s">
        <v>422</v>
      </c>
      <c r="K68" s="82" t="s">
        <v>440</v>
      </c>
      <c r="L68" s="83"/>
    </row>
    <row r="69" spans="1:12">
      <c r="A69" s="54" t="s">
        <v>432</v>
      </c>
      <c r="B69" s="79">
        <f>F57*E61</f>
        <v>54.911999999999999</v>
      </c>
      <c r="C69" s="80"/>
      <c r="D69" s="55" t="s">
        <v>422</v>
      </c>
      <c r="E69" s="82" t="s">
        <v>434</v>
      </c>
      <c r="F69" s="83"/>
      <c r="G69" s="57" t="s">
        <v>432</v>
      </c>
      <c r="H69" s="79">
        <f>F57*K61</f>
        <v>54.911999999999999</v>
      </c>
      <c r="I69" s="80"/>
      <c r="J69" s="57" t="s">
        <v>422</v>
      </c>
      <c r="K69" s="82" t="s">
        <v>441</v>
      </c>
      <c r="L69" s="83"/>
    </row>
    <row r="70" spans="1:12">
      <c r="A70" s="54" t="s">
        <v>435</v>
      </c>
      <c r="B70" s="79">
        <f>F62*E66</f>
        <v>0</v>
      </c>
      <c r="C70" s="80"/>
      <c r="D70" s="55" t="s">
        <v>422</v>
      </c>
      <c r="E70" s="82"/>
      <c r="F70" s="83"/>
      <c r="G70" s="57" t="s">
        <v>435</v>
      </c>
      <c r="H70" s="79">
        <f>F62*K66</f>
        <v>0</v>
      </c>
      <c r="I70" s="80"/>
      <c r="J70" s="57" t="s">
        <v>422</v>
      </c>
      <c r="K70" s="82"/>
      <c r="L70" s="83"/>
    </row>
    <row r="71" spans="1:12">
      <c r="A71" s="56" t="s">
        <v>436</v>
      </c>
      <c r="B71" s="71">
        <f>B67+B68+B69+B70</f>
        <v>736.31999999999994</v>
      </c>
      <c r="C71" s="60"/>
      <c r="D71" s="59" t="s">
        <v>422</v>
      </c>
      <c r="E71" s="84"/>
      <c r="F71" s="85"/>
      <c r="G71" s="56" t="s">
        <v>41</v>
      </c>
      <c r="H71" s="71">
        <f>H67+H68+H69+H70</f>
        <v>736.31999999999994</v>
      </c>
      <c r="I71" s="60"/>
      <c r="J71" s="59" t="s">
        <v>422</v>
      </c>
      <c r="K71" s="84"/>
      <c r="L71" s="85"/>
    </row>
    <row r="83" spans="1:17">
      <c r="A83" s="52" t="s">
        <v>410</v>
      </c>
    </row>
    <row r="85" spans="1:17">
      <c r="A85" s="52" t="s">
        <v>413</v>
      </c>
      <c r="O85" s="52">
        <v>63</v>
      </c>
      <c r="P85" s="52">
        <v>11</v>
      </c>
      <c r="Q85" s="52">
        <v>8</v>
      </c>
    </row>
    <row r="86" spans="1:17">
      <c r="A86" s="52" t="s">
        <v>442</v>
      </c>
      <c r="G86" s="52" t="s">
        <v>443</v>
      </c>
    </row>
    <row r="87" spans="1:17">
      <c r="A87" s="56" t="s">
        <v>416</v>
      </c>
      <c r="B87" s="57"/>
      <c r="C87" s="57"/>
      <c r="D87" s="57"/>
      <c r="E87" s="56" t="s">
        <v>417</v>
      </c>
      <c r="F87" s="58">
        <f>1142-155</f>
        <v>987</v>
      </c>
      <c r="G87" s="59" t="s">
        <v>107</v>
      </c>
      <c r="H87" s="60"/>
      <c r="I87" s="60"/>
      <c r="J87" s="61"/>
      <c r="K87" s="60"/>
      <c r="L87" s="59"/>
    </row>
    <row r="88" spans="1:17">
      <c r="A88" s="62" t="s">
        <v>444</v>
      </c>
      <c r="B88" s="63">
        <f>B11</f>
        <v>4.4000000000000004</v>
      </c>
      <c r="C88" s="52" t="s">
        <v>445</v>
      </c>
      <c r="F88" s="64"/>
      <c r="G88" s="62" t="s">
        <v>446</v>
      </c>
      <c r="H88" s="63"/>
      <c r="L88" s="64"/>
    </row>
    <row r="89" spans="1:17">
      <c r="A89" s="62" t="s">
        <v>447</v>
      </c>
      <c r="B89" s="63">
        <f>H11</f>
        <v>0.4</v>
      </c>
      <c r="C89" s="52" t="s">
        <v>445</v>
      </c>
      <c r="F89" s="64"/>
      <c r="G89" s="62" t="s">
        <v>448</v>
      </c>
      <c r="H89" s="63">
        <f>B91*0.2</f>
        <v>0.73377600000000021</v>
      </c>
      <c r="I89" s="52" t="s">
        <v>419</v>
      </c>
      <c r="L89" s="64"/>
    </row>
    <row r="90" spans="1:17">
      <c r="A90" s="65" t="s">
        <v>449</v>
      </c>
      <c r="B90" s="66">
        <f>3.142*(1.2*1.2)/4</f>
        <v>1.1311199999999999</v>
      </c>
      <c r="C90" s="67" t="s">
        <v>450</v>
      </c>
      <c r="D90" s="67"/>
      <c r="E90" s="67"/>
      <c r="F90" s="68"/>
      <c r="G90" s="65" t="s">
        <v>451</v>
      </c>
      <c r="H90" s="66"/>
      <c r="I90" s="67"/>
      <c r="J90" s="67"/>
      <c r="K90" s="67"/>
      <c r="L90" s="68"/>
    </row>
    <row r="91" spans="1:17">
      <c r="A91" s="54" t="s">
        <v>41</v>
      </c>
      <c r="B91" s="58">
        <f>B88+B89-B90</f>
        <v>3.6688800000000006</v>
      </c>
      <c r="C91" s="60" t="s">
        <v>422</v>
      </c>
      <c r="D91" s="57" t="s">
        <v>423</v>
      </c>
      <c r="E91" s="71">
        <f>B91*1.2</f>
        <v>4.4026560000000003</v>
      </c>
      <c r="F91" s="59" t="s">
        <v>422</v>
      </c>
      <c r="G91" s="54" t="s">
        <v>41</v>
      </c>
      <c r="H91" s="58">
        <f>H89</f>
        <v>0.73377600000000021</v>
      </c>
      <c r="I91" s="60" t="s">
        <v>422</v>
      </c>
      <c r="J91" s="57" t="s">
        <v>423</v>
      </c>
      <c r="K91" s="71">
        <f>H91*1.2</f>
        <v>0.88053120000000018</v>
      </c>
      <c r="L91" s="59" t="s">
        <v>422</v>
      </c>
    </row>
    <row r="92" spans="1:17">
      <c r="A92" s="56" t="s">
        <v>424</v>
      </c>
      <c r="B92" s="57"/>
      <c r="C92" s="57"/>
      <c r="D92" s="57"/>
      <c r="E92" s="56" t="s">
        <v>417</v>
      </c>
      <c r="F92" s="58">
        <f>690-72</f>
        <v>618</v>
      </c>
      <c r="G92" s="59" t="s">
        <v>107</v>
      </c>
      <c r="H92" s="57"/>
      <c r="I92" s="57"/>
      <c r="J92" s="57"/>
      <c r="K92" s="57"/>
      <c r="L92" s="55"/>
    </row>
    <row r="93" spans="1:17">
      <c r="A93" s="62" t="s">
        <v>444</v>
      </c>
      <c r="B93" s="63">
        <f>B16</f>
        <v>1.47</v>
      </c>
      <c r="C93" s="52" t="s">
        <v>445</v>
      </c>
      <c r="F93" s="64"/>
      <c r="G93" s="62" t="s">
        <v>446</v>
      </c>
      <c r="H93" s="63"/>
      <c r="I93" s="52" t="s">
        <v>419</v>
      </c>
      <c r="L93" s="64"/>
    </row>
    <row r="94" spans="1:17">
      <c r="A94" s="62" t="s">
        <v>447</v>
      </c>
      <c r="B94" s="63">
        <f>H16</f>
        <v>0.27999999999999997</v>
      </c>
      <c r="C94" s="52" t="s">
        <v>445</v>
      </c>
      <c r="F94" s="64"/>
      <c r="G94" s="62" t="s">
        <v>448</v>
      </c>
      <c r="H94" s="63">
        <f>B96*0.2</f>
        <v>0.19290000000000002</v>
      </c>
      <c r="I94" s="52" t="s">
        <v>419</v>
      </c>
      <c r="L94" s="64"/>
    </row>
    <row r="95" spans="1:17">
      <c r="A95" s="65" t="s">
        <v>449</v>
      </c>
      <c r="B95" s="66">
        <f>3.142*(1*1)/4</f>
        <v>0.78549999999999998</v>
      </c>
      <c r="C95" s="67" t="s">
        <v>450</v>
      </c>
      <c r="D95" s="67"/>
      <c r="E95" s="67"/>
      <c r="F95" s="68"/>
      <c r="G95" s="65" t="s">
        <v>451</v>
      </c>
      <c r="H95" s="66"/>
      <c r="I95" s="67" t="s">
        <v>419</v>
      </c>
      <c r="J95" s="67"/>
      <c r="K95" s="67"/>
      <c r="L95" s="68"/>
    </row>
    <row r="96" spans="1:17">
      <c r="A96" s="54" t="s">
        <v>41</v>
      </c>
      <c r="B96" s="58">
        <f>B93+B94-B95</f>
        <v>0.96450000000000002</v>
      </c>
      <c r="C96" s="60" t="s">
        <v>422</v>
      </c>
      <c r="D96" s="57" t="s">
        <v>423</v>
      </c>
      <c r="E96" s="71">
        <f>B96*1.2</f>
        <v>1.1574</v>
      </c>
      <c r="F96" s="59" t="s">
        <v>422</v>
      </c>
      <c r="G96" s="54" t="s">
        <v>41</v>
      </c>
      <c r="H96" s="58">
        <f>H94</f>
        <v>0.19290000000000002</v>
      </c>
      <c r="I96" s="60" t="s">
        <v>422</v>
      </c>
      <c r="J96" s="57" t="s">
        <v>423</v>
      </c>
      <c r="K96" s="71">
        <f>H96*1.2</f>
        <v>0.23148000000000002</v>
      </c>
      <c r="L96" s="59" t="s">
        <v>422</v>
      </c>
    </row>
    <row r="97" spans="1:12">
      <c r="A97" s="56" t="s">
        <v>425</v>
      </c>
      <c r="B97" s="57"/>
      <c r="C97" s="57"/>
      <c r="D97" s="57"/>
      <c r="E97" s="56" t="s">
        <v>417</v>
      </c>
      <c r="F97" s="58">
        <v>88</v>
      </c>
      <c r="G97" s="59" t="s">
        <v>107</v>
      </c>
      <c r="H97" s="57"/>
      <c r="I97" s="57"/>
      <c r="J97" s="57"/>
      <c r="K97" s="57"/>
      <c r="L97" s="55"/>
    </row>
    <row r="98" spans="1:12">
      <c r="A98" s="62" t="s">
        <v>444</v>
      </c>
      <c r="B98" s="63">
        <f>B21</f>
        <v>6.75</v>
      </c>
      <c r="C98" s="52" t="s">
        <v>445</v>
      </c>
      <c r="F98" s="64"/>
      <c r="G98" s="62" t="s">
        <v>446</v>
      </c>
      <c r="H98" s="63"/>
      <c r="I98" s="52" t="s">
        <v>419</v>
      </c>
      <c r="L98" s="64"/>
    </row>
    <row r="99" spans="1:12">
      <c r="A99" s="62" t="s">
        <v>447</v>
      </c>
      <c r="B99" s="7">
        <f>H21</f>
        <v>0.54</v>
      </c>
      <c r="C99" s="52" t="s">
        <v>445</v>
      </c>
      <c r="F99" s="64"/>
      <c r="G99" s="62" t="s">
        <v>448</v>
      </c>
      <c r="H99" s="63">
        <f>B101*0.2</f>
        <v>0.40000000000000019</v>
      </c>
      <c r="I99" s="52" t="s">
        <v>419</v>
      </c>
      <c r="L99" s="64"/>
    </row>
    <row r="100" spans="1:12">
      <c r="A100" s="65" t="s">
        <v>452</v>
      </c>
      <c r="B100" s="66">
        <f>2.3*2.3</f>
        <v>5.2899999999999991</v>
      </c>
      <c r="C100" s="67" t="s">
        <v>450</v>
      </c>
      <c r="D100" s="67"/>
      <c r="E100" s="67"/>
      <c r="F100" s="68"/>
      <c r="G100" s="65" t="s">
        <v>451</v>
      </c>
      <c r="H100" s="66"/>
      <c r="I100" s="67" t="s">
        <v>419</v>
      </c>
      <c r="J100" s="67"/>
      <c r="K100" s="67"/>
      <c r="L100" s="68"/>
    </row>
    <row r="101" spans="1:12">
      <c r="A101" s="54" t="s">
        <v>41</v>
      </c>
      <c r="B101" s="58">
        <f>B98+B99-B100</f>
        <v>2.0000000000000009</v>
      </c>
      <c r="C101" s="60" t="s">
        <v>422</v>
      </c>
      <c r="D101" s="57" t="s">
        <v>423</v>
      </c>
      <c r="E101" s="71">
        <f>B101*1.2</f>
        <v>2.4000000000000008</v>
      </c>
      <c r="F101" s="59" t="s">
        <v>422</v>
      </c>
      <c r="G101" s="54" t="s">
        <v>41</v>
      </c>
      <c r="H101" s="58">
        <f>H99</f>
        <v>0.40000000000000019</v>
      </c>
      <c r="I101" s="60" t="s">
        <v>422</v>
      </c>
      <c r="J101" s="57" t="s">
        <v>423</v>
      </c>
      <c r="K101" s="71">
        <f>H101*1.2</f>
        <v>0.4800000000000002</v>
      </c>
      <c r="L101" s="59" t="s">
        <v>422</v>
      </c>
    </row>
    <row r="102" spans="1:12">
      <c r="A102" s="56" t="s">
        <v>427</v>
      </c>
      <c r="B102" s="57"/>
      <c r="C102" s="57"/>
      <c r="D102" s="57"/>
      <c r="E102" s="56" t="s">
        <v>417</v>
      </c>
      <c r="F102" s="58">
        <v>0</v>
      </c>
      <c r="G102" s="59" t="s">
        <v>107</v>
      </c>
      <c r="H102" s="57"/>
      <c r="I102" s="57"/>
      <c r="J102" s="57"/>
      <c r="K102" s="57"/>
      <c r="L102" s="55"/>
    </row>
    <row r="103" spans="1:12">
      <c r="A103" s="62" t="s">
        <v>444</v>
      </c>
      <c r="B103" s="63">
        <f>B26</f>
        <v>4.1399999999999997</v>
      </c>
      <c r="C103" s="52" t="s">
        <v>445</v>
      </c>
      <c r="F103" s="64"/>
      <c r="G103" s="62" t="s">
        <v>446</v>
      </c>
      <c r="H103" s="63"/>
      <c r="I103" s="52" t="s">
        <v>419</v>
      </c>
      <c r="L103" s="64"/>
    </row>
    <row r="104" spans="1:12">
      <c r="A104" s="62" t="s">
        <v>447</v>
      </c>
      <c r="B104" s="7">
        <f>H26</f>
        <v>0.36000000000000004</v>
      </c>
      <c r="C104" s="52" t="s">
        <v>445</v>
      </c>
      <c r="F104" s="64"/>
      <c r="G104" s="62" t="s">
        <v>448</v>
      </c>
      <c r="H104" s="63">
        <f>B106*0.2</f>
        <v>0.15000000000000002</v>
      </c>
      <c r="I104" s="52" t="s">
        <v>419</v>
      </c>
      <c r="L104" s="64"/>
    </row>
    <row r="105" spans="1:12">
      <c r="A105" s="65" t="s">
        <v>453</v>
      </c>
      <c r="B105" s="15">
        <f>1.5*2.5*1</f>
        <v>3.75</v>
      </c>
      <c r="C105" s="67" t="s">
        <v>450</v>
      </c>
      <c r="D105" s="67"/>
      <c r="E105" s="67"/>
      <c r="F105" s="68"/>
      <c r="G105" s="65" t="s">
        <v>451</v>
      </c>
      <c r="H105" s="66"/>
      <c r="I105" s="67" t="s">
        <v>419</v>
      </c>
      <c r="J105" s="67"/>
      <c r="K105" s="67"/>
      <c r="L105" s="68"/>
    </row>
    <row r="106" spans="1:12">
      <c r="A106" s="73" t="s">
        <v>41</v>
      </c>
      <c r="B106" s="74">
        <f>B103+B104-B105</f>
        <v>0.75</v>
      </c>
      <c r="C106" s="75" t="s">
        <v>422</v>
      </c>
      <c r="D106" s="76" t="s">
        <v>423</v>
      </c>
      <c r="E106" s="77">
        <f>B106*1.2</f>
        <v>0.89999999999999991</v>
      </c>
      <c r="F106" s="78" t="s">
        <v>422</v>
      </c>
      <c r="G106" s="73" t="s">
        <v>41</v>
      </c>
      <c r="H106" s="74">
        <f>H104</f>
        <v>0.15000000000000002</v>
      </c>
      <c r="I106" s="75" t="s">
        <v>422</v>
      </c>
      <c r="J106" s="76" t="s">
        <v>423</v>
      </c>
      <c r="K106" s="77">
        <f>H106*1.2</f>
        <v>0.18000000000000002</v>
      </c>
      <c r="L106" s="78" t="s">
        <v>422</v>
      </c>
    </row>
    <row r="107" spans="1:12">
      <c r="A107" s="54" t="s">
        <v>429</v>
      </c>
      <c r="B107" s="79">
        <f>F87*E91</f>
        <v>4345.421472</v>
      </c>
      <c r="C107" s="80"/>
      <c r="D107" s="55" t="s">
        <v>422</v>
      </c>
      <c r="E107" s="81"/>
      <c r="F107" s="78"/>
      <c r="G107" s="57" t="s">
        <v>429</v>
      </c>
      <c r="H107" s="79">
        <f>F87*K91</f>
        <v>869.0842944000002</v>
      </c>
      <c r="I107" s="80"/>
      <c r="J107" s="57" t="s">
        <v>422</v>
      </c>
      <c r="K107" s="81"/>
      <c r="L107" s="78"/>
    </row>
    <row r="108" spans="1:12">
      <c r="A108" s="54" t="s">
        <v>430</v>
      </c>
      <c r="B108" s="79">
        <f>F92*E96</f>
        <v>715.27319999999997</v>
      </c>
      <c r="C108" s="80"/>
      <c r="D108" s="55" t="s">
        <v>422</v>
      </c>
      <c r="E108" s="82" t="s">
        <v>454</v>
      </c>
      <c r="F108" s="83"/>
      <c r="G108" s="57" t="s">
        <v>430</v>
      </c>
      <c r="H108" s="79">
        <f>F92*K96</f>
        <v>143.05464000000001</v>
      </c>
      <c r="I108" s="80"/>
      <c r="J108" s="57" t="s">
        <v>422</v>
      </c>
      <c r="K108" s="82" t="s">
        <v>455</v>
      </c>
      <c r="L108" s="83"/>
    </row>
    <row r="109" spans="1:12">
      <c r="A109" s="54" t="s">
        <v>432</v>
      </c>
      <c r="B109" s="79">
        <f>F97*E101</f>
        <v>211.20000000000007</v>
      </c>
      <c r="C109" s="80"/>
      <c r="D109" s="55" t="s">
        <v>422</v>
      </c>
      <c r="E109" s="82" t="s">
        <v>456</v>
      </c>
      <c r="F109" s="83"/>
      <c r="G109" s="57" t="s">
        <v>432</v>
      </c>
      <c r="H109" s="79">
        <f>F97*K101</f>
        <v>42.240000000000016</v>
      </c>
      <c r="I109" s="80"/>
      <c r="J109" s="57" t="s">
        <v>422</v>
      </c>
      <c r="K109" s="82" t="s">
        <v>457</v>
      </c>
      <c r="L109" s="83"/>
    </row>
    <row r="110" spans="1:12">
      <c r="A110" s="54" t="s">
        <v>435</v>
      </c>
      <c r="B110" s="79">
        <f>F102*E106</f>
        <v>0</v>
      </c>
      <c r="C110" s="80"/>
      <c r="D110" s="55" t="s">
        <v>422</v>
      </c>
      <c r="E110" s="82" t="s">
        <v>451</v>
      </c>
      <c r="F110" s="83"/>
      <c r="G110" s="57" t="s">
        <v>435</v>
      </c>
      <c r="H110" s="79">
        <f>F102*K106</f>
        <v>0</v>
      </c>
      <c r="I110" s="80"/>
      <c r="J110" s="57" t="s">
        <v>422</v>
      </c>
      <c r="K110" s="82"/>
      <c r="L110" s="83"/>
    </row>
    <row r="111" spans="1:12">
      <c r="A111" s="56" t="s">
        <v>436</v>
      </c>
      <c r="B111" s="71">
        <f>B107+B108+B109+B110</f>
        <v>5271.8946719999994</v>
      </c>
      <c r="C111" s="60"/>
      <c r="D111" s="59" t="s">
        <v>422</v>
      </c>
      <c r="E111" s="84"/>
      <c r="F111" s="85"/>
      <c r="G111" s="56" t="s">
        <v>41</v>
      </c>
      <c r="H111" s="71">
        <f>H107+H108+H109+H110</f>
        <v>1054.3789344000002</v>
      </c>
      <c r="I111" s="60"/>
      <c r="J111" s="59" t="s">
        <v>422</v>
      </c>
      <c r="K111" s="84"/>
      <c r="L111" s="85"/>
    </row>
    <row r="116" spans="1:17">
      <c r="E116" s="70"/>
    </row>
    <row r="117" spans="1:17">
      <c r="E117" s="70"/>
    </row>
    <row r="118" spans="1:17">
      <c r="E118" s="70"/>
    </row>
    <row r="119" spans="1:17">
      <c r="E119" s="70"/>
    </row>
    <row r="120" spans="1:17">
      <c r="E120" s="70"/>
    </row>
    <row r="121" spans="1:17">
      <c r="E121" s="70"/>
    </row>
    <row r="123" spans="1:17">
      <c r="A123" s="52" t="s">
        <v>410</v>
      </c>
    </row>
    <row r="125" spans="1:17">
      <c r="A125" s="52" t="s">
        <v>413</v>
      </c>
      <c r="O125" s="52">
        <v>63</v>
      </c>
      <c r="P125" s="52">
        <v>11</v>
      </c>
      <c r="Q125" s="52">
        <v>8</v>
      </c>
    </row>
    <row r="126" spans="1:17">
      <c r="A126" s="56" t="s">
        <v>458</v>
      </c>
      <c r="B126" s="57"/>
      <c r="C126" s="57"/>
      <c r="D126" s="57"/>
      <c r="E126" s="57"/>
      <c r="F126" s="55"/>
      <c r="G126" s="56"/>
      <c r="H126" s="57"/>
      <c r="I126" s="57"/>
      <c r="J126" s="57"/>
      <c r="K126" s="57"/>
      <c r="L126" s="55"/>
    </row>
    <row r="127" spans="1:17">
      <c r="A127" s="56" t="s">
        <v>416</v>
      </c>
      <c r="B127" s="57"/>
      <c r="C127" s="57"/>
      <c r="D127" s="57"/>
      <c r="E127" s="56" t="s">
        <v>417</v>
      </c>
      <c r="F127" s="58">
        <f>1142-155</f>
        <v>987</v>
      </c>
      <c r="G127" s="59"/>
      <c r="H127" s="60"/>
      <c r="I127" s="60"/>
      <c r="J127" s="61"/>
      <c r="K127" s="60"/>
      <c r="L127" s="59"/>
    </row>
    <row r="128" spans="1:17">
      <c r="A128" s="62" t="s">
        <v>418</v>
      </c>
      <c r="B128" s="63"/>
      <c r="C128" s="52" t="s">
        <v>419</v>
      </c>
      <c r="F128" s="64"/>
      <c r="G128" s="62"/>
      <c r="H128" s="63"/>
      <c r="L128" s="64"/>
    </row>
    <row r="129" spans="1:12">
      <c r="A129" s="62" t="s">
        <v>420</v>
      </c>
      <c r="B129" s="63">
        <v>8</v>
      </c>
      <c r="C129" s="52" t="s">
        <v>419</v>
      </c>
      <c r="F129" s="64"/>
      <c r="G129" s="62"/>
      <c r="H129" s="63"/>
      <c r="L129" s="64"/>
    </row>
    <row r="130" spans="1:12">
      <c r="A130" s="65" t="s">
        <v>421</v>
      </c>
      <c r="B130" s="66">
        <v>1</v>
      </c>
      <c r="C130" s="67" t="s">
        <v>419</v>
      </c>
      <c r="D130" s="67"/>
      <c r="E130" s="67"/>
      <c r="F130" s="68"/>
      <c r="G130" s="65"/>
      <c r="H130" s="66"/>
      <c r="I130" s="67"/>
      <c r="J130" s="67"/>
      <c r="K130" s="67"/>
      <c r="L130" s="68"/>
    </row>
    <row r="131" spans="1:12">
      <c r="A131" s="54" t="s">
        <v>41</v>
      </c>
      <c r="B131" s="58">
        <f>B129*B130</f>
        <v>8</v>
      </c>
      <c r="C131" s="60" t="s">
        <v>459</v>
      </c>
      <c r="D131" s="57"/>
      <c r="E131" s="71">
        <f>B131</f>
        <v>8</v>
      </c>
      <c r="F131" s="59" t="s">
        <v>422</v>
      </c>
      <c r="G131" s="54"/>
      <c r="H131" s="58"/>
      <c r="I131" s="60"/>
      <c r="J131" s="57"/>
      <c r="K131" s="71"/>
      <c r="L131" s="59"/>
    </row>
    <row r="132" spans="1:12">
      <c r="A132" s="56" t="s">
        <v>424</v>
      </c>
      <c r="B132" s="57"/>
      <c r="C132" s="57"/>
      <c r="D132" s="57"/>
      <c r="E132" s="56" t="s">
        <v>417</v>
      </c>
      <c r="F132" s="58">
        <f>690-72</f>
        <v>618</v>
      </c>
      <c r="G132" s="59"/>
      <c r="H132" s="57"/>
      <c r="I132" s="57"/>
      <c r="J132" s="57"/>
      <c r="K132" s="57"/>
      <c r="L132" s="55"/>
    </row>
    <row r="133" spans="1:12">
      <c r="A133" s="62" t="s">
        <v>418</v>
      </c>
      <c r="B133" s="63"/>
      <c r="C133" s="52" t="s">
        <v>419</v>
      </c>
      <c r="F133" s="64"/>
      <c r="G133" s="62"/>
      <c r="H133" s="63"/>
      <c r="L133" s="64"/>
    </row>
    <row r="134" spans="1:12">
      <c r="A134" s="62" t="s">
        <v>420</v>
      </c>
      <c r="B134" s="63">
        <v>8</v>
      </c>
      <c r="C134" s="52" t="s">
        <v>419</v>
      </c>
      <c r="F134" s="64"/>
      <c r="G134" s="62"/>
      <c r="H134" s="63"/>
      <c r="L134" s="64"/>
    </row>
    <row r="135" spans="1:12">
      <c r="A135" s="65" t="s">
        <v>421</v>
      </c>
      <c r="B135" s="66">
        <v>1</v>
      </c>
      <c r="C135" s="67" t="s">
        <v>419</v>
      </c>
      <c r="D135" s="67"/>
      <c r="E135" s="67"/>
      <c r="F135" s="68"/>
      <c r="G135" s="65"/>
      <c r="H135" s="66"/>
      <c r="I135" s="67"/>
      <c r="J135" s="67"/>
      <c r="K135" s="67"/>
      <c r="L135" s="68"/>
    </row>
    <row r="136" spans="1:12">
      <c r="A136" s="54" t="s">
        <v>41</v>
      </c>
      <c r="B136" s="58">
        <f>B134*B135</f>
        <v>8</v>
      </c>
      <c r="C136" s="60" t="s">
        <v>459</v>
      </c>
      <c r="D136" s="57"/>
      <c r="E136" s="71">
        <f>B136</f>
        <v>8</v>
      </c>
      <c r="F136" s="59" t="s">
        <v>422</v>
      </c>
      <c r="G136" s="54"/>
      <c r="H136" s="58"/>
      <c r="I136" s="60"/>
      <c r="J136" s="57"/>
      <c r="K136" s="71"/>
      <c r="L136" s="59"/>
    </row>
    <row r="137" spans="1:12">
      <c r="A137" s="56" t="s">
        <v>425</v>
      </c>
      <c r="B137" s="57"/>
      <c r="C137" s="57"/>
      <c r="D137" s="57"/>
      <c r="E137" s="56" t="s">
        <v>417</v>
      </c>
      <c r="F137" s="58">
        <v>88</v>
      </c>
      <c r="G137" s="59"/>
      <c r="H137" s="57"/>
      <c r="I137" s="57"/>
      <c r="J137" s="57"/>
      <c r="K137" s="57"/>
      <c r="L137" s="55"/>
    </row>
    <row r="138" spans="1:12">
      <c r="A138" s="62" t="s">
        <v>418</v>
      </c>
      <c r="B138" s="63"/>
      <c r="C138" s="52" t="s">
        <v>419</v>
      </c>
      <c r="F138" s="64"/>
      <c r="G138" s="62"/>
      <c r="H138" s="63"/>
      <c r="L138" s="64"/>
    </row>
    <row r="139" spans="1:12">
      <c r="A139" s="62" t="s">
        <v>420</v>
      </c>
      <c r="B139" s="63">
        <v>8</v>
      </c>
      <c r="C139" s="52" t="s">
        <v>419</v>
      </c>
      <c r="F139" s="64"/>
      <c r="G139" s="62"/>
      <c r="H139" s="63"/>
      <c r="L139" s="64"/>
    </row>
    <row r="140" spans="1:12">
      <c r="A140" s="65" t="s">
        <v>421</v>
      </c>
      <c r="B140" s="66">
        <v>1</v>
      </c>
      <c r="C140" s="67" t="s">
        <v>419</v>
      </c>
      <c r="D140" s="67"/>
      <c r="E140" s="67"/>
      <c r="F140" s="68"/>
      <c r="G140" s="65"/>
      <c r="H140" s="66"/>
      <c r="I140" s="67"/>
      <c r="J140" s="67"/>
      <c r="K140" s="67"/>
      <c r="L140" s="68"/>
    </row>
    <row r="141" spans="1:12">
      <c r="A141" s="54" t="s">
        <v>41</v>
      </c>
      <c r="B141" s="58">
        <f>B139*B140</f>
        <v>8</v>
      </c>
      <c r="C141" s="60" t="s">
        <v>459</v>
      </c>
      <c r="D141" s="57"/>
      <c r="E141" s="71">
        <f>B141</f>
        <v>8</v>
      </c>
      <c r="F141" s="59" t="s">
        <v>422</v>
      </c>
      <c r="G141" s="54"/>
      <c r="H141" s="58"/>
      <c r="I141" s="60"/>
      <c r="J141" s="57"/>
      <c r="K141" s="71"/>
      <c r="L141" s="59"/>
    </row>
    <row r="142" spans="1:12">
      <c r="A142" s="56" t="s">
        <v>427</v>
      </c>
      <c r="B142" s="57"/>
      <c r="C142" s="57"/>
      <c r="D142" s="57"/>
      <c r="E142" s="56" t="s">
        <v>417</v>
      </c>
      <c r="F142" s="58">
        <v>0</v>
      </c>
      <c r="G142" s="59"/>
      <c r="H142" s="57"/>
      <c r="I142" s="57"/>
      <c r="J142" s="57"/>
      <c r="K142" s="57"/>
      <c r="L142" s="55"/>
    </row>
    <row r="143" spans="1:12">
      <c r="A143" s="62" t="s">
        <v>418</v>
      </c>
      <c r="B143" s="63"/>
      <c r="C143" s="52" t="s">
        <v>419</v>
      </c>
      <c r="F143" s="64"/>
      <c r="G143" s="62"/>
      <c r="H143" s="63"/>
      <c r="L143" s="64"/>
    </row>
    <row r="144" spans="1:12">
      <c r="A144" s="62" t="s">
        <v>420</v>
      </c>
      <c r="B144" s="63">
        <v>8</v>
      </c>
      <c r="C144" s="52" t="s">
        <v>419</v>
      </c>
      <c r="F144" s="64"/>
      <c r="G144" s="62"/>
      <c r="H144" s="63"/>
      <c r="L144" s="64"/>
    </row>
    <row r="145" spans="1:12">
      <c r="A145" s="65" t="s">
        <v>421</v>
      </c>
      <c r="B145" s="66">
        <v>1</v>
      </c>
      <c r="C145" s="67" t="s">
        <v>419</v>
      </c>
      <c r="D145" s="67"/>
      <c r="E145" s="67"/>
      <c r="F145" s="68"/>
      <c r="G145" s="65"/>
      <c r="H145" s="66"/>
      <c r="I145" s="67"/>
      <c r="J145" s="67"/>
      <c r="K145" s="67"/>
      <c r="L145" s="68"/>
    </row>
    <row r="146" spans="1:12">
      <c r="A146" s="73" t="s">
        <v>41</v>
      </c>
      <c r="B146" s="74">
        <f>B144*B145</f>
        <v>8</v>
      </c>
      <c r="C146" s="60" t="s">
        <v>459</v>
      </c>
      <c r="D146" s="76"/>
      <c r="E146" s="77">
        <f>B146</f>
        <v>8</v>
      </c>
      <c r="F146" s="78" t="s">
        <v>422</v>
      </c>
      <c r="G146" s="73"/>
      <c r="H146" s="74"/>
      <c r="I146" s="75"/>
      <c r="J146" s="76"/>
      <c r="K146" s="77"/>
      <c r="L146" s="78"/>
    </row>
    <row r="147" spans="1:12">
      <c r="A147" s="54" t="s">
        <v>460</v>
      </c>
      <c r="B147" s="79">
        <f>F127*E131</f>
        <v>7896</v>
      </c>
      <c r="C147" s="80"/>
      <c r="D147" s="55" t="s">
        <v>459</v>
      </c>
      <c r="E147" s="81"/>
      <c r="F147" s="78"/>
      <c r="G147" s="57"/>
      <c r="H147" s="79"/>
      <c r="I147" s="80"/>
      <c r="J147" s="57"/>
      <c r="K147" s="81"/>
      <c r="L147" s="78"/>
    </row>
    <row r="148" spans="1:12">
      <c r="A148" s="54" t="s">
        <v>461</v>
      </c>
      <c r="B148" s="79">
        <f>F132*E136</f>
        <v>4944</v>
      </c>
      <c r="C148" s="80"/>
      <c r="D148" s="55" t="s">
        <v>459</v>
      </c>
      <c r="E148" s="82" t="s">
        <v>462</v>
      </c>
      <c r="F148" s="83"/>
      <c r="G148" s="57"/>
      <c r="H148" s="79"/>
      <c r="I148" s="80"/>
      <c r="J148" s="57"/>
      <c r="K148" s="82"/>
      <c r="L148" s="83"/>
    </row>
    <row r="149" spans="1:12">
      <c r="A149" s="54" t="s">
        <v>463</v>
      </c>
      <c r="B149" s="79">
        <f>F137*E141</f>
        <v>704</v>
      </c>
      <c r="C149" s="80"/>
      <c r="D149" s="55" t="s">
        <v>459</v>
      </c>
      <c r="E149" s="82"/>
      <c r="F149" s="83"/>
      <c r="G149" s="57"/>
      <c r="H149" s="79"/>
      <c r="I149" s="80"/>
      <c r="J149" s="57"/>
      <c r="K149" s="82"/>
      <c r="L149" s="83"/>
    </row>
    <row r="150" spans="1:12">
      <c r="A150" s="54" t="s">
        <v>464</v>
      </c>
      <c r="B150" s="79">
        <f>F142*E146</f>
        <v>0</v>
      </c>
      <c r="C150" s="80"/>
      <c r="D150" s="55" t="s">
        <v>459</v>
      </c>
      <c r="E150" s="82"/>
      <c r="F150" s="83"/>
      <c r="G150" s="57"/>
      <c r="H150" s="79"/>
      <c r="I150" s="80"/>
      <c r="J150" s="57"/>
      <c r="K150" s="82"/>
      <c r="L150" s="83"/>
    </row>
    <row r="151" spans="1:12">
      <c r="A151" s="56" t="s">
        <v>436</v>
      </c>
      <c r="B151" s="71">
        <f>B147+B148+B149+B150</f>
        <v>13544</v>
      </c>
      <c r="C151" s="60"/>
      <c r="D151" s="59" t="s">
        <v>459</v>
      </c>
      <c r="E151" s="84"/>
      <c r="F151" s="85"/>
      <c r="G151" s="56"/>
      <c r="H151" s="71"/>
      <c r="I151" s="60"/>
      <c r="J151" s="59"/>
      <c r="K151" s="84"/>
      <c r="L151" s="85"/>
    </row>
    <row r="153" spans="1:12">
      <c r="A153" s="52" t="s">
        <v>465</v>
      </c>
    </row>
    <row r="154" spans="1:12">
      <c r="E154" s="87" t="s">
        <v>466</v>
      </c>
      <c r="F154" s="87" t="s">
        <v>467</v>
      </c>
      <c r="G154" s="87" t="s">
        <v>468</v>
      </c>
      <c r="H154" s="87" t="s">
        <v>469</v>
      </c>
    </row>
    <row r="155" spans="1:12">
      <c r="B155" s="53" t="s">
        <v>470</v>
      </c>
      <c r="C155" s="53"/>
      <c r="D155" s="53"/>
      <c r="E155" s="49">
        <v>0</v>
      </c>
      <c r="F155" s="49">
        <v>14</v>
      </c>
      <c r="G155" s="49">
        <v>6</v>
      </c>
      <c r="H155" s="49">
        <f>E155+F155+G155</f>
        <v>20</v>
      </c>
    </row>
    <row r="156" spans="1:12">
      <c r="B156" s="53" t="s">
        <v>471</v>
      </c>
      <c r="C156" s="53"/>
      <c r="D156" s="53"/>
      <c r="E156" s="49">
        <v>0</v>
      </c>
      <c r="F156" s="49">
        <v>14</v>
      </c>
      <c r="G156" s="49">
        <v>6</v>
      </c>
      <c r="H156" s="49">
        <f>E156+F156+G156</f>
        <v>20</v>
      </c>
    </row>
    <row r="157" spans="1:12">
      <c r="B157" s="574" t="s">
        <v>472</v>
      </c>
      <c r="C157" s="575"/>
      <c r="D157" s="576"/>
      <c r="E157" s="49">
        <v>0</v>
      </c>
      <c r="F157" s="49">
        <v>72</v>
      </c>
      <c r="G157" s="49">
        <v>24</v>
      </c>
      <c r="H157" s="49">
        <f>E157+F157+G157</f>
        <v>96</v>
      </c>
    </row>
    <row r="158" spans="1:12">
      <c r="K158" s="89" t="s">
        <v>408</v>
      </c>
    </row>
    <row r="159" spans="1:12">
      <c r="K159" s="88" t="s">
        <v>473</v>
      </c>
    </row>
  </sheetData>
  <mergeCells count="1">
    <mergeCell ref="B157:D157"/>
  </mergeCells>
  <pageMargins left="0.78740157480314965" right="0.78740157480314965" top="0.98425196850393704" bottom="0.19685039370078741" header="0.51181102362204722" footer="0.19685039370078741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711BA-7B7E-4346-AC4E-576B979885DA}">
  <dimension ref="A1:K38"/>
  <sheetViews>
    <sheetView workbookViewId="0">
      <selection activeCell="B21" sqref="B21:B23"/>
    </sheetView>
  </sheetViews>
  <sheetFormatPr defaultColWidth="20.7109375" defaultRowHeight="12.75"/>
  <cols>
    <col min="1" max="1" width="8.28515625" customWidth="1"/>
    <col min="2" max="2" width="35.85546875" customWidth="1"/>
    <col min="3" max="3" width="10.5703125" customWidth="1"/>
    <col min="4" max="6" width="21.7109375" customWidth="1"/>
    <col min="7" max="7" width="24" customWidth="1"/>
    <col min="8" max="11" width="16.85546875" bestFit="1" customWidth="1"/>
  </cols>
  <sheetData>
    <row r="1" spans="1:11" ht="15">
      <c r="A1" s="593"/>
      <c r="B1" s="593"/>
      <c r="C1" s="593"/>
      <c r="D1" s="593"/>
      <c r="E1" s="593"/>
      <c r="F1" s="593"/>
      <c r="G1" s="593"/>
      <c r="H1" s="344"/>
      <c r="I1" s="344"/>
      <c r="J1" s="344"/>
      <c r="K1" s="344"/>
    </row>
    <row r="2" spans="1:11" ht="51.75" customHeight="1">
      <c r="A2" s="594" t="str">
        <f>PLANILHA!A4</f>
        <v>OBJETO: CONTRATAÇÃO DE EMPRESA ESPECIALIZADA EM ENGENHARIA PARA EXECUÇÃO DE SERVIÇOS DE DRENAGEM, TERRAPLENAGEM E PAVIMENTAÇÃO ASFÁLTICA, LOCALIZADA NA AV. MAÇARANDUBA, RUA DEUSANIRA, AV. BRAGANÇA, RUA GRAVIOLA, RUA JAMBEIRO, RUA ÓBIDOS, RUA SÃO MIGUEL E RUA SEBERI  NA CIDADE DE TUCUMÃ NO ESTADO DO PARÁ</v>
      </c>
      <c r="B2" s="594"/>
      <c r="C2" s="594"/>
      <c r="D2" s="594"/>
      <c r="E2" s="594"/>
      <c r="F2" s="594"/>
      <c r="G2" s="594"/>
      <c r="H2" s="363"/>
      <c r="I2" s="363"/>
      <c r="J2" s="363"/>
      <c r="K2" s="363"/>
    </row>
    <row r="3" spans="1:11" ht="27.75" customHeight="1">
      <c r="A3" s="595" t="s">
        <v>474</v>
      </c>
      <c r="B3" s="595"/>
      <c r="C3" s="595"/>
      <c r="D3" s="595"/>
      <c r="E3" s="595"/>
      <c r="F3" s="595"/>
      <c r="G3" s="595"/>
      <c r="H3" s="362"/>
      <c r="I3" s="362"/>
      <c r="J3" s="362"/>
      <c r="K3" s="362"/>
    </row>
    <row r="4" spans="1:11" ht="18" customHeight="1">
      <c r="A4" s="596" t="s">
        <v>79</v>
      </c>
      <c r="B4" s="596" t="s">
        <v>82</v>
      </c>
      <c r="C4" s="596" t="s">
        <v>475</v>
      </c>
      <c r="D4" s="349" t="s">
        <v>476</v>
      </c>
      <c r="E4" s="349" t="s">
        <v>477</v>
      </c>
      <c r="F4" s="349" t="s">
        <v>478</v>
      </c>
      <c r="G4" s="596" t="s">
        <v>41</v>
      </c>
    </row>
    <row r="5" spans="1:11" ht="18" customHeight="1">
      <c r="A5" s="597"/>
      <c r="B5" s="597"/>
      <c r="C5" s="597"/>
      <c r="D5" s="350" t="s">
        <v>479</v>
      </c>
      <c r="E5" s="350" t="s">
        <v>480</v>
      </c>
      <c r="F5" s="350" t="s">
        <v>481</v>
      </c>
      <c r="G5" s="597"/>
    </row>
    <row r="6" spans="1:11" ht="18" customHeight="1">
      <c r="A6" s="580">
        <v>1</v>
      </c>
      <c r="B6" s="586" t="s">
        <v>482</v>
      </c>
      <c r="C6" s="577">
        <f>G6/$G$30</f>
        <v>1.8854553672854067E-2</v>
      </c>
      <c r="D6" s="351">
        <v>0.33329999999999999</v>
      </c>
      <c r="E6" s="351">
        <v>0.33329999999999999</v>
      </c>
      <c r="F6" s="351">
        <v>0.33339999999999997</v>
      </c>
      <c r="G6" s="587">
        <f>PLANILHA!I10</f>
        <v>145601.94</v>
      </c>
    </row>
    <row r="7" spans="1:11" ht="6" customHeight="1">
      <c r="A7" s="581"/>
      <c r="B7" s="584"/>
      <c r="C7" s="578"/>
      <c r="D7" s="364"/>
      <c r="E7" s="364"/>
      <c r="F7" s="364"/>
      <c r="G7" s="588"/>
    </row>
    <row r="8" spans="1:11" ht="18" customHeight="1">
      <c r="A8" s="582"/>
      <c r="B8" s="585"/>
      <c r="C8" s="579"/>
      <c r="D8" s="397">
        <f>D6*$G6</f>
        <v>48529.126601999997</v>
      </c>
      <c r="E8" s="397">
        <f>E6*$G6</f>
        <v>48529.126601999997</v>
      </c>
      <c r="F8" s="397">
        <f>F6*$G6</f>
        <v>48543.686795999995</v>
      </c>
      <c r="G8" s="589"/>
    </row>
    <row r="9" spans="1:11" ht="18" customHeight="1">
      <c r="A9" s="580">
        <v>2</v>
      </c>
      <c r="B9" s="586" t="s">
        <v>65</v>
      </c>
      <c r="C9" s="577">
        <f>G9/$G$30</f>
        <v>2.694550721896747E-2</v>
      </c>
      <c r="D9" s="351">
        <v>0.96879999999999999</v>
      </c>
      <c r="E9" s="351">
        <v>1.5599999999999999E-2</v>
      </c>
      <c r="F9" s="351">
        <v>1.5599999999999999E-2</v>
      </c>
      <c r="G9" s="587">
        <f>PLANILHA!I23</f>
        <v>208083.32</v>
      </c>
    </row>
    <row r="10" spans="1:11" ht="6" customHeight="1">
      <c r="A10" s="581"/>
      <c r="B10" s="584"/>
      <c r="C10" s="578"/>
      <c r="D10" s="364"/>
      <c r="E10" s="364"/>
      <c r="F10" s="364"/>
      <c r="G10" s="588"/>
    </row>
    <row r="11" spans="1:11" ht="18" customHeight="1">
      <c r="A11" s="582"/>
      <c r="B11" s="585"/>
      <c r="C11" s="579"/>
      <c r="D11" s="397">
        <f>D9*$G9</f>
        <v>201591.12041600002</v>
      </c>
      <c r="E11" s="397">
        <f>E9*$G9</f>
        <v>3246.099792</v>
      </c>
      <c r="F11" s="397">
        <f>F9*$G9</f>
        <v>3246.099792</v>
      </c>
      <c r="G11" s="589"/>
    </row>
    <row r="12" spans="1:11" ht="18" customHeight="1">
      <c r="A12" s="580">
        <v>3</v>
      </c>
      <c r="B12" s="586" t="s">
        <v>119</v>
      </c>
      <c r="C12" s="577">
        <f>G12/$G$30</f>
        <v>6.214769160489738E-3</v>
      </c>
      <c r="D12" s="351">
        <v>0.5</v>
      </c>
      <c r="E12" s="351"/>
      <c r="F12" s="351">
        <v>0.5</v>
      </c>
      <c r="G12" s="587">
        <f>PLANILHA!I27</f>
        <v>47992.78</v>
      </c>
    </row>
    <row r="13" spans="1:11" ht="6" customHeight="1">
      <c r="A13" s="581"/>
      <c r="B13" s="584"/>
      <c r="C13" s="578"/>
      <c r="D13" s="364"/>
      <c r="E13" s="353"/>
      <c r="F13" s="364"/>
      <c r="G13" s="588"/>
    </row>
    <row r="14" spans="1:11" ht="18" customHeight="1">
      <c r="A14" s="582"/>
      <c r="B14" s="585"/>
      <c r="C14" s="579"/>
      <c r="D14" s="397">
        <f>D12*$G12</f>
        <v>23996.39</v>
      </c>
      <c r="E14" s="397"/>
      <c r="F14" s="397">
        <f>F12*$G12</f>
        <v>23996.39</v>
      </c>
      <c r="G14" s="589"/>
    </row>
    <row r="15" spans="1:11" ht="18" customHeight="1">
      <c r="A15" s="580">
        <v>4</v>
      </c>
      <c r="B15" s="583" t="s">
        <v>124</v>
      </c>
      <c r="C15" s="577">
        <f>G15/$G$30</f>
        <v>0.17807002542254383</v>
      </c>
      <c r="D15" s="351">
        <v>0.3</v>
      </c>
      <c r="E15" s="351">
        <v>0.7</v>
      </c>
      <c r="F15" s="351"/>
      <c r="G15" s="587">
        <f>PLANILHA!I44</f>
        <v>1375123.5700000003</v>
      </c>
    </row>
    <row r="16" spans="1:11" ht="6" customHeight="1">
      <c r="A16" s="581"/>
      <c r="B16" s="584"/>
      <c r="C16" s="578"/>
      <c r="D16" s="364"/>
      <c r="E16" s="364"/>
      <c r="F16" s="353"/>
      <c r="G16" s="588"/>
    </row>
    <row r="17" spans="1:7" ht="18" customHeight="1">
      <c r="A17" s="582"/>
      <c r="B17" s="585"/>
      <c r="C17" s="579"/>
      <c r="D17" s="397">
        <f>D15*$G15</f>
        <v>412537.07100000005</v>
      </c>
      <c r="E17" s="397">
        <f>E15*$G15</f>
        <v>962586.49900000019</v>
      </c>
      <c r="F17" s="397"/>
      <c r="G17" s="589"/>
    </row>
    <row r="18" spans="1:7" ht="18" customHeight="1">
      <c r="A18" s="580">
        <v>5</v>
      </c>
      <c r="B18" s="586" t="s">
        <v>156</v>
      </c>
      <c r="C18" s="577">
        <f>G18/$G$30</f>
        <v>0.16300982630723462</v>
      </c>
      <c r="D18" s="351">
        <v>0.4</v>
      </c>
      <c r="E18" s="351">
        <v>0.6</v>
      </c>
      <c r="F18" s="351"/>
      <c r="G18" s="587">
        <f>PLANILHA!I67</f>
        <v>1258823.06</v>
      </c>
    </row>
    <row r="19" spans="1:7" ht="6" customHeight="1">
      <c r="A19" s="581"/>
      <c r="B19" s="584"/>
      <c r="C19" s="578"/>
      <c r="D19" s="364"/>
      <c r="E19" s="364"/>
      <c r="F19" s="353"/>
      <c r="G19" s="588"/>
    </row>
    <row r="20" spans="1:7" ht="18" customHeight="1">
      <c r="A20" s="582"/>
      <c r="B20" s="585"/>
      <c r="C20" s="579"/>
      <c r="D20" s="397">
        <f>D18*$G18</f>
        <v>503529.22400000005</v>
      </c>
      <c r="E20" s="397">
        <f>E18*$G18</f>
        <v>755293.83600000001</v>
      </c>
      <c r="F20" s="397"/>
      <c r="G20" s="589"/>
    </row>
    <row r="21" spans="1:7" ht="18" customHeight="1">
      <c r="A21" s="580">
        <v>6</v>
      </c>
      <c r="B21" s="586" t="s">
        <v>186</v>
      </c>
      <c r="C21" s="577">
        <f>G21/$G$30</f>
        <v>0.42558469029915497</v>
      </c>
      <c r="D21" s="351"/>
      <c r="E21" s="351">
        <v>0.2</v>
      </c>
      <c r="F21" s="351">
        <v>0.8</v>
      </c>
      <c r="G21" s="587">
        <f>PLANILHA!I74</f>
        <v>3286524.71</v>
      </c>
    </row>
    <row r="22" spans="1:7" ht="6" customHeight="1">
      <c r="A22" s="581"/>
      <c r="B22" s="584"/>
      <c r="C22" s="578"/>
      <c r="D22" s="353"/>
      <c r="E22" s="364"/>
      <c r="F22" s="364"/>
      <c r="G22" s="588"/>
    </row>
    <row r="23" spans="1:7" ht="18" customHeight="1">
      <c r="A23" s="582"/>
      <c r="B23" s="585"/>
      <c r="C23" s="579"/>
      <c r="D23" s="397"/>
      <c r="E23" s="397">
        <f>E21*$G21</f>
        <v>657304.94200000004</v>
      </c>
      <c r="F23" s="397">
        <f>F21*$G21</f>
        <v>2629219.7680000002</v>
      </c>
      <c r="G23" s="589"/>
    </row>
    <row r="24" spans="1:7" ht="18" customHeight="1">
      <c r="A24" s="580">
        <v>7</v>
      </c>
      <c r="B24" s="583" t="s">
        <v>197</v>
      </c>
      <c r="C24" s="577">
        <f>G24/$G$30</f>
        <v>9.0805548256230832E-3</v>
      </c>
      <c r="D24" s="351"/>
      <c r="E24" s="351"/>
      <c r="F24" s="351">
        <v>1</v>
      </c>
      <c r="G24" s="587">
        <f>PLANILHA!I80</f>
        <v>70123.452499999999</v>
      </c>
    </row>
    <row r="25" spans="1:7" ht="6" customHeight="1">
      <c r="A25" s="581"/>
      <c r="B25" s="584"/>
      <c r="C25" s="578"/>
      <c r="D25" s="353"/>
      <c r="E25" s="353"/>
      <c r="F25" s="364"/>
      <c r="G25" s="588"/>
    </row>
    <row r="26" spans="1:7" ht="18" customHeight="1">
      <c r="A26" s="582"/>
      <c r="B26" s="585"/>
      <c r="C26" s="579"/>
      <c r="D26" s="352"/>
      <c r="E26" s="352"/>
      <c r="F26" s="397">
        <f>F24*$G24</f>
        <v>70123.452499999999</v>
      </c>
      <c r="G26" s="589"/>
    </row>
    <row r="27" spans="1:7" ht="18" customHeight="1">
      <c r="A27" s="580">
        <v>8</v>
      </c>
      <c r="B27" s="590" t="s">
        <v>207</v>
      </c>
      <c r="C27" s="577">
        <f>G27/$G$30</f>
        <v>0.17224007309313213</v>
      </c>
      <c r="D27" s="351"/>
      <c r="E27" s="351">
        <v>0.5</v>
      </c>
      <c r="F27" s="351">
        <v>0.5</v>
      </c>
      <c r="G27" s="587">
        <f>PLANILHA!I89</f>
        <v>1330102.49</v>
      </c>
    </row>
    <row r="28" spans="1:7" ht="6" customHeight="1">
      <c r="A28" s="581"/>
      <c r="B28" s="591"/>
      <c r="C28" s="578"/>
      <c r="D28" s="353"/>
      <c r="E28" s="364"/>
      <c r="F28" s="364"/>
      <c r="G28" s="588"/>
    </row>
    <row r="29" spans="1:7" ht="18" customHeight="1">
      <c r="A29" s="582"/>
      <c r="B29" s="592"/>
      <c r="C29" s="579"/>
      <c r="D29" s="352"/>
      <c r="E29" s="397">
        <f>E27*$G27</f>
        <v>665051.245</v>
      </c>
      <c r="F29" s="397">
        <f>F27*$G27</f>
        <v>665051.245</v>
      </c>
      <c r="G29" s="589"/>
    </row>
    <row r="30" spans="1:7" ht="18" customHeight="1">
      <c r="A30" s="354"/>
      <c r="B30" s="354" t="s">
        <v>483</v>
      </c>
      <c r="C30" s="354"/>
      <c r="D30" s="355">
        <f>D8+D11+D14+D17+D20+D23+D26+D29</f>
        <v>1190182.9320180002</v>
      </c>
      <c r="E30" s="355">
        <f>E8+E11+E14+E17+E20+E23+E26+E29</f>
        <v>3092011.7483940003</v>
      </c>
      <c r="F30" s="355">
        <f>F8+F11+F14+F17+F20+F23+F26+F29</f>
        <v>3440180.6420880002</v>
      </c>
      <c r="G30" s="356">
        <f>SUM(G6:G29)</f>
        <v>7722375.3225000007</v>
      </c>
    </row>
    <row r="31" spans="1:7" ht="18" customHeight="1">
      <c r="A31" s="357"/>
      <c r="B31" s="358" t="s">
        <v>484</v>
      </c>
      <c r="C31" s="357"/>
      <c r="D31" s="359">
        <f>D30/$G$30</f>
        <v>0.15412135286279982</v>
      </c>
      <c r="E31" s="359">
        <f>E30/$G$30</f>
        <v>0.40039646083829672</v>
      </c>
      <c r="F31" s="359">
        <f>F30/$G$30</f>
        <v>0.44548218629890346</v>
      </c>
      <c r="G31" s="360">
        <f>SUM(D31:F31)</f>
        <v>1</v>
      </c>
    </row>
    <row r="32" spans="1:7" ht="18" customHeight="1">
      <c r="A32" s="354"/>
      <c r="B32" s="354" t="s">
        <v>485</v>
      </c>
      <c r="C32" s="354"/>
      <c r="D32" s="355">
        <f>D30</f>
        <v>1190182.9320180002</v>
      </c>
      <c r="E32" s="355">
        <f>D32+E30</f>
        <v>4282194.680412</v>
      </c>
      <c r="F32" s="355">
        <f>E32+F30</f>
        <v>7722375.3224999998</v>
      </c>
      <c r="G32" s="354"/>
    </row>
    <row r="33" spans="1:7" ht="18" customHeight="1">
      <c r="A33" s="357"/>
      <c r="B33" s="358" t="s">
        <v>486</v>
      </c>
      <c r="C33" s="357"/>
      <c r="D33" s="361">
        <f>D31</f>
        <v>0.15412135286279982</v>
      </c>
      <c r="E33" s="361">
        <f>D33+E31</f>
        <v>0.55451781370109654</v>
      </c>
      <c r="F33" s="361">
        <f>E33+F31</f>
        <v>1</v>
      </c>
      <c r="G33" s="357"/>
    </row>
    <row r="35" spans="1:7" ht="40.5" customHeight="1"/>
    <row r="36" spans="1:7">
      <c r="B36" s="94" t="s">
        <v>219</v>
      </c>
    </row>
    <row r="37" spans="1:7">
      <c r="B37" s="94" t="s">
        <v>220</v>
      </c>
    </row>
    <row r="38" spans="1:7">
      <c r="B38" s="94" t="s">
        <v>221</v>
      </c>
    </row>
  </sheetData>
  <mergeCells count="39">
    <mergeCell ref="C4:C5"/>
    <mergeCell ref="B4:B5"/>
    <mergeCell ref="B6:B8"/>
    <mergeCell ref="G15:G17"/>
    <mergeCell ref="A1:G1"/>
    <mergeCell ref="G27:G29"/>
    <mergeCell ref="A18:A20"/>
    <mergeCell ref="A21:A23"/>
    <mergeCell ref="B21:B23"/>
    <mergeCell ref="C21:C23"/>
    <mergeCell ref="A6:A8"/>
    <mergeCell ref="G24:G26"/>
    <mergeCell ref="B15:B17"/>
    <mergeCell ref="A2:G2"/>
    <mergeCell ref="A3:G3"/>
    <mergeCell ref="A4:A5"/>
    <mergeCell ref="C18:C20"/>
    <mergeCell ref="A9:A11"/>
    <mergeCell ref="A12:A14"/>
    <mergeCell ref="G4:G5"/>
    <mergeCell ref="A27:A29"/>
    <mergeCell ref="B27:B29"/>
    <mergeCell ref="C27:C29"/>
    <mergeCell ref="C15:C17"/>
    <mergeCell ref="C12:C14"/>
    <mergeCell ref="C24:C26"/>
    <mergeCell ref="C6:C8"/>
    <mergeCell ref="A24:A26"/>
    <mergeCell ref="B24:B26"/>
    <mergeCell ref="B18:B20"/>
    <mergeCell ref="G6:G8"/>
    <mergeCell ref="G18:G20"/>
    <mergeCell ref="C9:C11"/>
    <mergeCell ref="G9:G11"/>
    <mergeCell ref="G12:G14"/>
    <mergeCell ref="B9:B11"/>
    <mergeCell ref="G21:G23"/>
    <mergeCell ref="B12:B14"/>
    <mergeCell ref="A15:A17"/>
  </mergeCells>
  <printOptions horizontalCentered="1" verticalCentered="1"/>
  <pageMargins left="0.31496062992125984" right="0.31496062992125984" top="0.39370078740157483" bottom="0.39370078740157483" header="0.31496062992125984" footer="0.31496062992125984"/>
  <pageSetup paperSize="9" scale="8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F7A83-4C6D-4977-9DE8-1959588AFC54}">
  <sheetPr>
    <pageSetUpPr fitToPage="1"/>
  </sheetPr>
  <dimension ref="A1:F53"/>
  <sheetViews>
    <sheetView view="pageBreakPreview" topLeftCell="A14" zoomScaleSheetLayoutView="100" workbookViewId="0">
      <selection sqref="A1:E4"/>
    </sheetView>
  </sheetViews>
  <sheetFormatPr defaultRowHeight="12.75"/>
  <cols>
    <col min="1" max="1" width="7.42578125" style="246" customWidth="1"/>
    <col min="2" max="2" width="26.5703125" style="246" customWidth="1"/>
    <col min="3" max="3" width="30.7109375" style="246" customWidth="1"/>
    <col min="4" max="4" width="11.140625" style="246" customWidth="1"/>
    <col min="5" max="5" width="14.28515625" style="246" customWidth="1"/>
    <col min="6" max="16384" width="9.140625" style="246"/>
  </cols>
  <sheetData>
    <row r="1" spans="1:6">
      <c r="A1" s="609" t="str">
        <f>PLANILHA!A4</f>
        <v>OBJETO: CONTRATAÇÃO DE EMPRESA ESPECIALIZADA EM ENGENHARIA PARA EXECUÇÃO DE SERVIÇOS DE DRENAGEM, TERRAPLENAGEM E PAVIMENTAÇÃO ASFÁLTICA, LOCALIZADA NA AV. MAÇARANDUBA, RUA DEUSANIRA, AV. BRAGANÇA, RUA GRAVIOLA, RUA JAMBEIRO, RUA ÓBIDOS, RUA SÃO MIGUEL E RUA SEBERI  NA CIDADE DE TUCUMÃ NO ESTADO DO PARÁ</v>
      </c>
      <c r="B1" s="609"/>
      <c r="C1" s="609"/>
      <c r="D1" s="609"/>
      <c r="E1" s="609"/>
      <c r="F1" s="245"/>
    </row>
    <row r="2" spans="1:6">
      <c r="A2" s="609"/>
      <c r="B2" s="609"/>
      <c r="C2" s="609"/>
      <c r="D2" s="609"/>
      <c r="E2" s="609"/>
      <c r="F2" s="247"/>
    </row>
    <row r="3" spans="1:6" ht="12.75" customHeight="1">
      <c r="A3" s="609"/>
      <c r="B3" s="609"/>
      <c r="C3" s="609"/>
      <c r="D3" s="609"/>
      <c r="E3" s="609"/>
      <c r="F3" s="247"/>
    </row>
    <row r="4" spans="1:6" ht="18" customHeight="1">
      <c r="A4" s="609"/>
      <c r="B4" s="609"/>
      <c r="C4" s="609"/>
      <c r="D4" s="609"/>
      <c r="E4" s="609"/>
      <c r="F4" s="247"/>
    </row>
    <row r="5" spans="1:6" ht="27" customHeight="1">
      <c r="A5" s="248"/>
      <c r="B5" s="248"/>
      <c r="C5" s="248"/>
      <c r="D5" s="248"/>
      <c r="E5" s="248"/>
    </row>
    <row r="6" spans="1:6">
      <c r="A6" s="608" t="s">
        <v>487</v>
      </c>
      <c r="B6" s="608"/>
      <c r="C6" s="608"/>
      <c r="D6" s="608"/>
      <c r="E6" s="608"/>
    </row>
    <row r="7" spans="1:6" ht="13.5" thickBot="1">
      <c r="A7" s="249"/>
      <c r="B7" s="250"/>
      <c r="C7" s="250"/>
      <c r="D7" s="250"/>
      <c r="E7" s="250"/>
    </row>
    <row r="8" spans="1:6" ht="13.5" thickBot="1">
      <c r="A8" s="607" t="s">
        <v>488</v>
      </c>
      <c r="B8" s="607"/>
      <c r="C8" s="607"/>
      <c r="D8" s="251" t="s">
        <v>489</v>
      </c>
      <c r="E8" s="252" t="s">
        <v>490</v>
      </c>
    </row>
    <row r="9" spans="1:6" ht="13.5" thickBot="1">
      <c r="A9" s="253"/>
      <c r="B9" s="254" t="s">
        <v>491</v>
      </c>
      <c r="C9" s="254"/>
      <c r="D9" s="255" t="s">
        <v>475</v>
      </c>
      <c r="E9" s="255" t="s">
        <v>475</v>
      </c>
    </row>
    <row r="10" spans="1:6">
      <c r="A10" s="256" t="s">
        <v>492</v>
      </c>
      <c r="B10" s="600" t="s">
        <v>493</v>
      </c>
      <c r="C10" s="600"/>
      <c r="D10" s="257"/>
      <c r="E10" s="258"/>
    </row>
    <row r="11" spans="1:6">
      <c r="A11" s="259" t="s">
        <v>494</v>
      </c>
      <c r="B11" s="599" t="s">
        <v>495</v>
      </c>
      <c r="C11" s="599"/>
      <c r="D11" s="260">
        <v>1.4999999999999999E-2</v>
      </c>
      <c r="E11" s="261">
        <f t="shared" ref="E11:E18" si="0">D11</f>
        <v>1.4999999999999999E-2</v>
      </c>
    </row>
    <row r="12" spans="1:6">
      <c r="A12" s="259" t="s">
        <v>496</v>
      </c>
      <c r="B12" s="599" t="s">
        <v>497</v>
      </c>
      <c r="C12" s="599"/>
      <c r="D12" s="260">
        <v>0.01</v>
      </c>
      <c r="E12" s="261">
        <f t="shared" si="0"/>
        <v>0.01</v>
      </c>
    </row>
    <row r="13" spans="1:6">
      <c r="A13" s="259" t="s">
        <v>498</v>
      </c>
      <c r="B13" s="599" t="s">
        <v>499</v>
      </c>
      <c r="C13" s="599"/>
      <c r="D13" s="260">
        <v>2E-3</v>
      </c>
      <c r="E13" s="261">
        <f t="shared" si="0"/>
        <v>2E-3</v>
      </c>
    </row>
    <row r="14" spans="1:6">
      <c r="A14" s="259" t="s">
        <v>500</v>
      </c>
      <c r="B14" s="599" t="s">
        <v>501</v>
      </c>
      <c r="C14" s="599"/>
      <c r="D14" s="260">
        <v>6.0000000000000001E-3</v>
      </c>
      <c r="E14" s="261">
        <f t="shared" si="0"/>
        <v>6.0000000000000001E-3</v>
      </c>
    </row>
    <row r="15" spans="1:6">
      <c r="A15" s="259" t="s">
        <v>502</v>
      </c>
      <c r="B15" s="599" t="s">
        <v>503</v>
      </c>
      <c r="C15" s="599"/>
      <c r="D15" s="260">
        <v>2.5000000000000001E-2</v>
      </c>
      <c r="E15" s="261">
        <f t="shared" si="0"/>
        <v>2.5000000000000001E-2</v>
      </c>
    </row>
    <row r="16" spans="1:6">
      <c r="A16" s="259" t="s">
        <v>504</v>
      </c>
      <c r="B16" s="599" t="s">
        <v>505</v>
      </c>
      <c r="C16" s="599"/>
      <c r="D16" s="260">
        <v>0.03</v>
      </c>
      <c r="E16" s="261">
        <f t="shared" si="0"/>
        <v>0.03</v>
      </c>
    </row>
    <row r="17" spans="1:5">
      <c r="A17" s="259" t="s">
        <v>506</v>
      </c>
      <c r="B17" s="599" t="s">
        <v>507</v>
      </c>
      <c r="C17" s="599"/>
      <c r="D17" s="260">
        <v>0.08</v>
      </c>
      <c r="E17" s="261">
        <f t="shared" si="0"/>
        <v>0.08</v>
      </c>
    </row>
    <row r="18" spans="1:5" ht="13.5" thickBot="1">
      <c r="A18" s="262" t="s">
        <v>508</v>
      </c>
      <c r="B18" s="606" t="s">
        <v>509</v>
      </c>
      <c r="C18" s="606"/>
      <c r="D18" s="264">
        <v>0</v>
      </c>
      <c r="E18" s="261">
        <f t="shared" si="0"/>
        <v>0</v>
      </c>
    </row>
    <row r="19" spans="1:5" ht="13.5" thickBot="1">
      <c r="A19" s="265" t="s">
        <v>510</v>
      </c>
      <c r="B19" s="266" t="s">
        <v>511</v>
      </c>
      <c r="C19" s="266"/>
      <c r="D19" s="252">
        <f>SUM(D10:D18)</f>
        <v>0.16799999999999998</v>
      </c>
      <c r="E19" s="252">
        <f>SUM(E10:E18)</f>
        <v>0.16799999999999998</v>
      </c>
    </row>
    <row r="20" spans="1:5" ht="13.5" thickBot="1">
      <c r="A20" s="267"/>
      <c r="B20" s="268"/>
      <c r="C20" s="268"/>
      <c r="D20" s="269"/>
      <c r="E20" s="249"/>
    </row>
    <row r="21" spans="1:5" ht="13.5" thickBot="1">
      <c r="A21" s="253"/>
      <c r="B21" s="254" t="s">
        <v>512</v>
      </c>
      <c r="C21" s="254"/>
      <c r="D21" s="255" t="s">
        <v>475</v>
      </c>
      <c r="E21" s="255" t="s">
        <v>475</v>
      </c>
    </row>
    <row r="22" spans="1:5">
      <c r="A22" s="256" t="s">
        <v>513</v>
      </c>
      <c r="B22" s="600" t="s">
        <v>514</v>
      </c>
      <c r="C22" s="600"/>
      <c r="D22" s="270">
        <v>0.1812</v>
      </c>
      <c r="E22" s="258"/>
    </row>
    <row r="23" spans="1:5">
      <c r="A23" s="259" t="s">
        <v>515</v>
      </c>
      <c r="B23" s="601" t="s">
        <v>516</v>
      </c>
      <c r="C23" s="601"/>
      <c r="D23" s="260">
        <v>4.1599999999999998E-2</v>
      </c>
      <c r="E23" s="261"/>
    </row>
    <row r="24" spans="1:5">
      <c r="A24" s="259" t="s">
        <v>517</v>
      </c>
      <c r="B24" s="599" t="s">
        <v>518</v>
      </c>
      <c r="C24" s="599"/>
      <c r="D24" s="260">
        <v>9.4000000000000004E-3</v>
      </c>
      <c r="E24" s="261">
        <v>7.1000000000000004E-3</v>
      </c>
    </row>
    <row r="25" spans="1:5">
      <c r="A25" s="259" t="s">
        <v>519</v>
      </c>
      <c r="B25" s="599" t="s">
        <v>520</v>
      </c>
      <c r="C25" s="599"/>
      <c r="D25" s="260">
        <v>0.1103</v>
      </c>
      <c r="E25" s="261">
        <v>8.3299999999999999E-2</v>
      </c>
    </row>
    <row r="26" spans="1:5">
      <c r="A26" s="259" t="s">
        <v>521</v>
      </c>
      <c r="B26" s="599" t="s">
        <v>522</v>
      </c>
      <c r="C26" s="599"/>
      <c r="D26" s="260">
        <v>6.9999999999999999E-4</v>
      </c>
      <c r="E26" s="261">
        <v>5.9999999999999995E-4</v>
      </c>
    </row>
    <row r="27" spans="1:5">
      <c r="A27" s="259" t="s">
        <v>523</v>
      </c>
      <c r="B27" s="599" t="s">
        <v>524</v>
      </c>
      <c r="C27" s="599"/>
      <c r="D27" s="260">
        <v>7.4000000000000003E-3</v>
      </c>
      <c r="E27" s="261">
        <v>5.5999999999999999E-3</v>
      </c>
    </row>
    <row r="28" spans="1:5">
      <c r="A28" s="259" t="s">
        <v>525</v>
      </c>
      <c r="B28" s="599" t="s">
        <v>526</v>
      </c>
      <c r="C28" s="599"/>
      <c r="D28" s="260">
        <v>2.69E-2</v>
      </c>
      <c r="E28" s="261"/>
    </row>
    <row r="29" spans="1:5">
      <c r="A29" s="259" t="s">
        <v>527</v>
      </c>
      <c r="B29" s="271" t="s">
        <v>528</v>
      </c>
      <c r="C29" s="271"/>
      <c r="D29" s="260">
        <v>1.1000000000000001E-3</v>
      </c>
      <c r="E29" s="261">
        <v>8.9999999999999998E-4</v>
      </c>
    </row>
    <row r="30" spans="1:5">
      <c r="A30" s="259" t="s">
        <v>529</v>
      </c>
      <c r="B30" s="271" t="s">
        <v>530</v>
      </c>
      <c r="C30" s="271"/>
      <c r="D30" s="260">
        <v>9.9000000000000005E-2</v>
      </c>
      <c r="E30" s="261">
        <v>7.4800000000000005E-2</v>
      </c>
    </row>
    <row r="31" spans="1:5" ht="13.5" thickBot="1">
      <c r="A31" s="262" t="s">
        <v>531</v>
      </c>
      <c r="B31" s="263" t="s">
        <v>532</v>
      </c>
      <c r="C31" s="263"/>
      <c r="D31" s="264">
        <v>2.9999999999999997E-4</v>
      </c>
      <c r="E31" s="272">
        <v>2.0000000000000001E-4</v>
      </c>
    </row>
    <row r="32" spans="1:5" ht="13.5" thickBot="1">
      <c r="A32" s="265" t="s">
        <v>533</v>
      </c>
      <c r="B32" s="266" t="s">
        <v>534</v>
      </c>
      <c r="C32" s="271"/>
      <c r="D32" s="273">
        <f>SUM(D22:D31)</f>
        <v>0.47789999999999994</v>
      </c>
      <c r="E32" s="273">
        <f>SUM(E22:E31)</f>
        <v>0.17250000000000001</v>
      </c>
    </row>
    <row r="33" spans="1:5" ht="13.5" thickBot="1">
      <c r="A33" s="267"/>
      <c r="B33" s="268"/>
      <c r="C33" s="268"/>
      <c r="D33" s="274"/>
      <c r="E33" s="249"/>
    </row>
    <row r="34" spans="1:5" ht="13.5" thickBot="1">
      <c r="A34" s="253"/>
      <c r="B34" s="254" t="s">
        <v>535</v>
      </c>
      <c r="C34" s="254"/>
      <c r="D34" s="255" t="s">
        <v>475</v>
      </c>
      <c r="E34" s="255" t="s">
        <v>475</v>
      </c>
    </row>
    <row r="35" spans="1:5">
      <c r="A35" s="256" t="s">
        <v>536</v>
      </c>
      <c r="B35" s="600" t="s">
        <v>537</v>
      </c>
      <c r="C35" s="600"/>
      <c r="D35" s="257">
        <v>6.2700000000000006E-2</v>
      </c>
      <c r="E35" s="257">
        <v>4.7399999999999998E-2</v>
      </c>
    </row>
    <row r="36" spans="1:5">
      <c r="A36" s="259" t="s">
        <v>538</v>
      </c>
      <c r="B36" s="271" t="s">
        <v>539</v>
      </c>
      <c r="C36" s="271"/>
      <c r="D36" s="260">
        <v>1.5E-3</v>
      </c>
      <c r="E36" s="260">
        <v>1.1000000000000001E-3</v>
      </c>
    </row>
    <row r="37" spans="1:5">
      <c r="A37" s="259" t="s">
        <v>540</v>
      </c>
      <c r="B37" s="271" t="s">
        <v>541</v>
      </c>
      <c r="C37" s="271"/>
      <c r="D37" s="260">
        <v>4.2299999999999997E-2</v>
      </c>
      <c r="E37" s="260">
        <v>3.1899999999999998E-2</v>
      </c>
    </row>
    <row r="38" spans="1:5">
      <c r="A38" s="259" t="s">
        <v>542</v>
      </c>
      <c r="B38" s="599" t="s">
        <v>543</v>
      </c>
      <c r="C38" s="599"/>
      <c r="D38" s="260">
        <v>5.0900000000000001E-2</v>
      </c>
      <c r="E38" s="260">
        <v>3.8399999999999997E-2</v>
      </c>
    </row>
    <row r="39" spans="1:5" ht="13.5" thickBot="1">
      <c r="A39" s="262" t="s">
        <v>544</v>
      </c>
      <c r="B39" s="263" t="s">
        <v>545</v>
      </c>
      <c r="C39" s="263"/>
      <c r="D39" s="264">
        <v>5.3E-3</v>
      </c>
      <c r="E39" s="264">
        <v>4.0000000000000001E-3</v>
      </c>
    </row>
    <row r="40" spans="1:5" ht="26.25" customHeight="1" thickBot="1">
      <c r="A40" s="275" t="s">
        <v>546</v>
      </c>
      <c r="B40" s="602" t="s">
        <v>547</v>
      </c>
      <c r="C40" s="603"/>
      <c r="D40" s="276">
        <f>SUM(D35:D39)</f>
        <v>0.16270000000000001</v>
      </c>
      <c r="E40" s="276">
        <f>SUM(E35:E39)</f>
        <v>0.12279999999999999</v>
      </c>
    </row>
    <row r="41" spans="1:5" ht="13.5" thickBot="1">
      <c r="A41" s="267"/>
      <c r="B41" s="268"/>
      <c r="C41" s="268"/>
      <c r="D41" s="274"/>
      <c r="E41" s="249"/>
    </row>
    <row r="42" spans="1:5" ht="13.5" thickBot="1">
      <c r="A42" s="253"/>
      <c r="B42" s="254" t="s">
        <v>548</v>
      </c>
      <c r="C42" s="254"/>
      <c r="D42" s="255" t="s">
        <v>475</v>
      </c>
      <c r="E42" s="255" t="s">
        <v>475</v>
      </c>
    </row>
    <row r="43" spans="1:5">
      <c r="A43" s="256" t="s">
        <v>549</v>
      </c>
      <c r="B43" s="600" t="s">
        <v>550</v>
      </c>
      <c r="C43" s="600"/>
      <c r="D43" s="257">
        <f>D19*D32</f>
        <v>8.0287199999999975E-2</v>
      </c>
      <c r="E43" s="258">
        <f>E19*E32</f>
        <v>2.8979999999999999E-2</v>
      </c>
    </row>
    <row r="44" spans="1:5" ht="13.5" thickBot="1">
      <c r="A44" s="259" t="s">
        <v>551</v>
      </c>
      <c r="B44" s="604" t="s">
        <v>552</v>
      </c>
      <c r="C44" s="605"/>
      <c r="D44" s="260">
        <v>5.3E-3</v>
      </c>
      <c r="E44" s="261">
        <v>4.0000000000000001E-3</v>
      </c>
    </row>
    <row r="45" spans="1:5" ht="13.5" thickBot="1">
      <c r="A45" s="277" t="s">
        <v>553</v>
      </c>
      <c r="B45" s="278" t="s">
        <v>554</v>
      </c>
      <c r="C45" s="279"/>
      <c r="D45" s="252">
        <f>SUM(D43:D44)</f>
        <v>8.5587199999999974E-2</v>
      </c>
      <c r="E45" s="252">
        <f>SUM(E43:E44)</f>
        <v>3.2979999999999995E-2</v>
      </c>
    </row>
    <row r="46" spans="1:5">
      <c r="A46" s="256"/>
      <c r="B46" s="280"/>
      <c r="C46" s="281"/>
      <c r="D46" s="280"/>
      <c r="E46" s="282"/>
    </row>
    <row r="47" spans="1:5" ht="13.5" thickBot="1">
      <c r="A47" s="262"/>
      <c r="B47" s="283"/>
      <c r="C47" s="283"/>
      <c r="D47" s="283"/>
      <c r="E47" s="284"/>
    </row>
    <row r="48" spans="1:5" ht="13.5" thickBot="1">
      <c r="A48" s="285"/>
      <c r="B48" s="598" t="s">
        <v>555</v>
      </c>
      <c r="C48" s="598"/>
      <c r="D48" s="286">
        <f>SUM(D19,D32,D40,D45)</f>
        <v>0.89418719999999996</v>
      </c>
      <c r="E48" s="286">
        <f>SUM(E19,E32,E40,E45)</f>
        <v>0.49628000000000005</v>
      </c>
    </row>
    <row r="52" spans="3:3" ht="15">
      <c r="C52" s="287"/>
    </row>
    <row r="53" spans="3:3" ht="15">
      <c r="C53" s="287"/>
    </row>
  </sheetData>
  <mergeCells count="25">
    <mergeCell ref="B18:C18"/>
    <mergeCell ref="A8:C8"/>
    <mergeCell ref="A6:E6"/>
    <mergeCell ref="B10:C10"/>
    <mergeCell ref="A1:E4"/>
    <mergeCell ref="B11:C11"/>
    <mergeCell ref="B12:C12"/>
    <mergeCell ref="B13:C13"/>
    <mergeCell ref="B14:C14"/>
    <mergeCell ref="B15:C15"/>
    <mergeCell ref="B16:C16"/>
    <mergeCell ref="B17:C17"/>
    <mergeCell ref="B22:C22"/>
    <mergeCell ref="B23:C23"/>
    <mergeCell ref="B24:C24"/>
    <mergeCell ref="B40:C40"/>
    <mergeCell ref="B43:C43"/>
    <mergeCell ref="B48:C48"/>
    <mergeCell ref="B25:C25"/>
    <mergeCell ref="B26:C26"/>
    <mergeCell ref="B27:C27"/>
    <mergeCell ref="B28:C28"/>
    <mergeCell ref="B35:C35"/>
    <mergeCell ref="B38:C38"/>
    <mergeCell ref="B44:C44"/>
  </mergeCells>
  <printOptions horizontalCentered="1"/>
  <pageMargins left="0.9055118110236221" right="0.70866141732283472" top="0.74803149606299213" bottom="0.74803149606299213" header="0.31496062992125984" footer="0.31496062992125984"/>
  <pageSetup paperSize="9" scale="88" orientation="portrait" horizontalDpi="4294967295" verticalDpi="4294967295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F70B9-EB3F-4A41-BEAE-2D28E1380998}">
  <dimension ref="A1:N38"/>
  <sheetViews>
    <sheetView view="pageBreakPreview" zoomScale="80" zoomScaleNormal="100" zoomScaleSheetLayoutView="80" workbookViewId="0">
      <selection activeCell="Q14" sqref="Q14"/>
    </sheetView>
  </sheetViews>
  <sheetFormatPr defaultRowHeight="12.75"/>
  <cols>
    <col min="1" max="1" width="12.42578125" customWidth="1"/>
    <col min="6" max="6" width="21.42578125" customWidth="1"/>
    <col min="7" max="7" width="13.28515625" customWidth="1"/>
    <col min="11" max="11" width="9.5703125" bestFit="1" customWidth="1"/>
  </cols>
  <sheetData>
    <row r="1" spans="1:11" ht="18" customHeight="1">
      <c r="A1" s="610" t="str">
        <f>PLANILHA!A4</f>
        <v>OBJETO: CONTRATAÇÃO DE EMPRESA ESPECIALIZADA EM ENGENHARIA PARA EXECUÇÃO DE SERVIÇOS DE DRENAGEM, TERRAPLENAGEM E PAVIMENTAÇÃO ASFÁLTICA, LOCALIZADA NA AV. MAÇARANDUBA, RUA DEUSANIRA, AV. BRAGANÇA, RUA GRAVIOLA, RUA JAMBEIRO, RUA ÓBIDOS, RUA SÃO MIGUEL E RUA SEBERI  NA CIDADE DE TUCUMÃ NO ESTADO DO PARÁ</v>
      </c>
      <c r="B1" s="610"/>
      <c r="C1" s="610"/>
      <c r="D1" s="610"/>
      <c r="E1" s="610"/>
      <c r="F1" s="610"/>
      <c r="G1" s="610"/>
      <c r="H1" s="290"/>
      <c r="I1" s="290"/>
    </row>
    <row r="2" spans="1:11">
      <c r="A2" s="610"/>
      <c r="B2" s="610"/>
      <c r="C2" s="610"/>
      <c r="D2" s="610"/>
      <c r="E2" s="610"/>
      <c r="F2" s="610"/>
      <c r="G2" s="610"/>
      <c r="H2" s="425"/>
      <c r="I2" s="425"/>
    </row>
    <row r="3" spans="1:11">
      <c r="A3" s="610"/>
      <c r="B3" s="610"/>
      <c r="C3" s="610"/>
      <c r="D3" s="610"/>
      <c r="E3" s="610"/>
      <c r="F3" s="610"/>
      <c r="G3" s="610"/>
      <c r="H3" s="469"/>
      <c r="I3" s="469"/>
    </row>
    <row r="4" spans="1:11">
      <c r="A4" s="610"/>
      <c r="B4" s="610"/>
      <c r="C4" s="610"/>
      <c r="D4" s="610"/>
      <c r="E4" s="610"/>
      <c r="F4" s="610"/>
      <c r="G4" s="610"/>
      <c r="H4" s="469"/>
      <c r="I4" s="469"/>
    </row>
    <row r="5" spans="1:11" ht="35.25" customHeight="1">
      <c r="A5" s="289"/>
      <c r="B5" s="289"/>
      <c r="C5" s="289"/>
      <c r="D5" s="289"/>
      <c r="E5" s="289"/>
      <c r="F5" s="289"/>
      <c r="G5" s="289"/>
      <c r="H5" s="289"/>
      <c r="I5" s="289"/>
    </row>
    <row r="6" spans="1:11" ht="20.25">
      <c r="A6" s="622" t="s">
        <v>556</v>
      </c>
      <c r="B6" s="622"/>
      <c r="C6" s="622"/>
      <c r="D6" s="622"/>
      <c r="E6" s="622"/>
      <c r="F6" s="622"/>
      <c r="G6" s="622"/>
      <c r="H6" s="468"/>
      <c r="I6" s="468"/>
    </row>
    <row r="7" spans="1:11" ht="49.5" customHeight="1">
      <c r="A7" s="290"/>
      <c r="B7" s="290"/>
      <c r="C7" s="290"/>
      <c r="D7" s="290"/>
      <c r="E7" s="290"/>
      <c r="F7" s="290"/>
      <c r="G7" s="290"/>
      <c r="H7" s="290"/>
      <c r="I7" s="290"/>
    </row>
    <row r="8" spans="1:11">
      <c r="A8" s="290"/>
      <c r="B8" s="290"/>
      <c r="C8" s="290"/>
      <c r="D8" s="290"/>
      <c r="E8" s="290"/>
      <c r="F8" s="290"/>
      <c r="G8" s="290"/>
      <c r="H8" s="290"/>
      <c r="I8" s="290"/>
    </row>
    <row r="9" spans="1:11" ht="15">
      <c r="A9" s="290"/>
      <c r="B9" s="614" t="s">
        <v>557</v>
      </c>
      <c r="C9" s="615" t="s">
        <v>558</v>
      </c>
      <c r="D9" s="616"/>
      <c r="E9" s="616"/>
      <c r="F9" s="616"/>
      <c r="G9" s="619"/>
      <c r="H9" s="290"/>
      <c r="I9" s="290"/>
    </row>
    <row r="10" spans="1:11" ht="15">
      <c r="A10" s="290"/>
      <c r="B10" s="614"/>
      <c r="C10" s="620" t="s">
        <v>559</v>
      </c>
      <c r="D10" s="621"/>
      <c r="E10" s="621"/>
      <c r="F10" s="621"/>
      <c r="G10" s="619"/>
      <c r="H10" s="290"/>
      <c r="I10" s="290"/>
    </row>
    <row r="11" spans="1:11">
      <c r="A11" s="290"/>
      <c r="B11" s="290"/>
      <c r="C11" s="290"/>
      <c r="D11" s="290"/>
      <c r="E11" s="290"/>
      <c r="F11" s="290"/>
      <c r="G11" s="290"/>
      <c r="H11" s="290"/>
      <c r="I11" s="290"/>
    </row>
    <row r="12" spans="1:11">
      <c r="A12" s="290"/>
      <c r="B12" s="290"/>
      <c r="C12" s="290"/>
      <c r="D12" s="290"/>
      <c r="E12" s="290"/>
      <c r="F12" s="290"/>
      <c r="G12" s="290"/>
      <c r="H12" s="290"/>
      <c r="I12" s="290"/>
    </row>
    <row r="13" spans="1:11" ht="20.100000000000001" customHeight="1">
      <c r="A13" s="290"/>
      <c r="B13" s="291" t="s">
        <v>560</v>
      </c>
      <c r="C13" s="290"/>
      <c r="D13" s="290"/>
      <c r="E13" s="290"/>
      <c r="F13" s="663">
        <v>3.7999999999999999E-2</v>
      </c>
      <c r="G13" s="290"/>
      <c r="H13" s="290"/>
      <c r="I13" s="290"/>
      <c r="K13" s="243">
        <f>F13</f>
        <v>3.7999999999999999E-2</v>
      </c>
    </row>
    <row r="14" spans="1:11" ht="20.100000000000001" customHeight="1">
      <c r="A14" s="290"/>
      <c r="B14" s="291" t="s">
        <v>561</v>
      </c>
      <c r="C14" s="290"/>
      <c r="D14" s="290"/>
      <c r="E14" s="290"/>
      <c r="F14" s="663">
        <v>3.2000000000000002E-3</v>
      </c>
      <c r="G14" s="290"/>
      <c r="H14" s="290"/>
      <c r="I14" s="290"/>
      <c r="K14" s="243">
        <f t="shared" ref="K14:K22" si="0">F14</f>
        <v>3.2000000000000002E-3</v>
      </c>
    </row>
    <row r="15" spans="1:11" ht="20.100000000000001" customHeight="1">
      <c r="A15" s="290"/>
      <c r="B15" s="291" t="s">
        <v>562</v>
      </c>
      <c r="C15" s="290"/>
      <c r="D15" s="290"/>
      <c r="E15" s="290"/>
      <c r="F15" s="663">
        <v>5.0000000000000001E-3</v>
      </c>
      <c r="G15" s="290"/>
      <c r="H15" s="290"/>
      <c r="I15" s="290"/>
      <c r="K15" s="243">
        <f t="shared" si="0"/>
        <v>5.0000000000000001E-3</v>
      </c>
    </row>
    <row r="16" spans="1:11" ht="20.100000000000001" customHeight="1">
      <c r="A16" s="290"/>
      <c r="B16" s="291" t="s">
        <v>563</v>
      </c>
      <c r="C16" s="290"/>
      <c r="D16" s="290"/>
      <c r="E16" s="290"/>
      <c r="F16" s="664">
        <v>1.0200000000000001E-2</v>
      </c>
      <c r="G16" s="290"/>
      <c r="H16" s="290"/>
      <c r="I16" s="290"/>
      <c r="K16" s="244">
        <f t="shared" si="0"/>
        <v>1.0200000000000001E-2</v>
      </c>
    </row>
    <row r="17" spans="1:14" ht="20.100000000000001" customHeight="1">
      <c r="A17" s="290"/>
      <c r="B17" s="291" t="s">
        <v>564</v>
      </c>
      <c r="C17" s="290"/>
      <c r="D17" s="290"/>
      <c r="E17" s="290"/>
      <c r="F17" s="663">
        <v>6.6400000000000001E-2</v>
      </c>
      <c r="G17" s="290"/>
      <c r="H17" s="290"/>
      <c r="I17" s="290"/>
      <c r="K17" s="243">
        <f t="shared" si="0"/>
        <v>6.6400000000000001E-2</v>
      </c>
    </row>
    <row r="18" spans="1:14" ht="20.100000000000001" customHeight="1">
      <c r="A18" s="290"/>
      <c r="B18" s="291" t="s">
        <v>565</v>
      </c>
      <c r="C18" s="290"/>
      <c r="D18" s="290"/>
      <c r="E18" s="290"/>
      <c r="F18" s="663">
        <f>SUM(F19:F22)</f>
        <v>0.13150000000000001</v>
      </c>
      <c r="G18" s="290"/>
      <c r="H18" s="290"/>
      <c r="I18" s="290"/>
      <c r="K18" s="243">
        <f t="shared" si="0"/>
        <v>0.13150000000000001</v>
      </c>
    </row>
    <row r="19" spans="1:14" ht="20.100000000000001" customHeight="1">
      <c r="A19" s="290"/>
      <c r="B19" s="291"/>
      <c r="C19" s="290" t="s">
        <v>566</v>
      </c>
      <c r="D19" s="290"/>
      <c r="E19" s="290"/>
      <c r="F19" s="663">
        <v>0.05</v>
      </c>
      <c r="G19" s="290"/>
      <c r="H19" s="290"/>
      <c r="I19" s="290"/>
      <c r="K19" s="243">
        <f t="shared" si="0"/>
        <v>0.05</v>
      </c>
    </row>
    <row r="20" spans="1:14" ht="20.100000000000001" customHeight="1">
      <c r="A20" s="290"/>
      <c r="B20" s="291"/>
      <c r="C20" s="290" t="s">
        <v>567</v>
      </c>
      <c r="D20" s="290"/>
      <c r="E20" s="290"/>
      <c r="F20" s="663">
        <v>6.4999999999999997E-3</v>
      </c>
      <c r="G20" s="290"/>
      <c r="H20" s="290"/>
      <c r="I20" s="290"/>
      <c r="K20" s="243">
        <f t="shared" si="0"/>
        <v>6.4999999999999997E-3</v>
      </c>
    </row>
    <row r="21" spans="1:14" ht="20.100000000000001" customHeight="1">
      <c r="A21" s="290"/>
      <c r="B21" s="291"/>
      <c r="C21" s="290" t="s">
        <v>568</v>
      </c>
      <c r="D21" s="290"/>
      <c r="E21" s="290"/>
      <c r="F21" s="663">
        <v>0.03</v>
      </c>
      <c r="G21" s="290"/>
      <c r="H21" s="290"/>
      <c r="I21" s="290"/>
      <c r="K21" s="243">
        <f t="shared" si="0"/>
        <v>0.03</v>
      </c>
    </row>
    <row r="22" spans="1:14" ht="20.100000000000001" customHeight="1">
      <c r="A22" s="290"/>
      <c r="B22" s="291"/>
      <c r="C22" s="292" t="s">
        <v>569</v>
      </c>
      <c r="D22" s="290"/>
      <c r="E22" s="290"/>
      <c r="F22" s="663">
        <v>4.4999999999999998E-2</v>
      </c>
      <c r="G22" s="290"/>
      <c r="H22" s="290"/>
      <c r="I22" s="290"/>
      <c r="K22" s="243">
        <f t="shared" si="0"/>
        <v>4.4999999999999998E-2</v>
      </c>
    </row>
    <row r="23" spans="1:14">
      <c r="A23" s="290"/>
      <c r="B23" s="290"/>
      <c r="C23" s="290"/>
      <c r="D23" s="290"/>
      <c r="E23" s="290"/>
      <c r="F23" s="290"/>
      <c r="G23" s="290"/>
      <c r="H23" s="290"/>
      <c r="I23" s="290"/>
    </row>
    <row r="24" spans="1:14">
      <c r="A24" s="290"/>
      <c r="B24" s="290"/>
      <c r="C24" s="290"/>
      <c r="D24" s="290"/>
      <c r="E24" s="290"/>
      <c r="F24" s="290"/>
      <c r="G24" s="290"/>
      <c r="H24" s="290"/>
      <c r="I24" s="290"/>
    </row>
    <row r="25" spans="1:14" ht="12.75" customHeight="1">
      <c r="A25" s="290"/>
      <c r="B25" s="614" t="s">
        <v>557</v>
      </c>
      <c r="C25" s="623" t="s">
        <v>570</v>
      </c>
      <c r="D25" s="624"/>
      <c r="E25" s="624"/>
      <c r="F25" s="624"/>
      <c r="G25" s="619">
        <v>-1</v>
      </c>
      <c r="H25" s="290"/>
      <c r="I25" s="290"/>
    </row>
    <row r="26" spans="1:14" ht="12.75" customHeight="1">
      <c r="A26" s="290"/>
      <c r="B26" s="614"/>
      <c r="C26" s="617" t="s">
        <v>571</v>
      </c>
      <c r="D26" s="618"/>
      <c r="E26" s="618"/>
      <c r="F26" s="618"/>
      <c r="G26" s="619"/>
      <c r="H26" s="290"/>
      <c r="I26" s="290"/>
    </row>
    <row r="27" spans="1:14">
      <c r="A27" s="290"/>
      <c r="B27" s="290"/>
      <c r="C27" s="290"/>
      <c r="D27" s="290"/>
      <c r="E27" s="290"/>
      <c r="F27" s="290"/>
      <c r="G27" s="290"/>
      <c r="H27" s="290"/>
      <c r="I27" s="290"/>
    </row>
    <row r="28" spans="1:14">
      <c r="A28" s="290"/>
      <c r="B28" s="290"/>
      <c r="C28" s="290"/>
      <c r="D28" s="290"/>
      <c r="E28" s="290"/>
      <c r="F28" s="290"/>
      <c r="G28" s="290"/>
      <c r="H28" s="290"/>
      <c r="I28" s="290"/>
    </row>
    <row r="29" spans="1:14" ht="15">
      <c r="A29" s="290"/>
      <c r="B29" s="614" t="s">
        <v>557</v>
      </c>
      <c r="C29" s="615">
        <f>(1+0.038+0.0017+0.005+0.0015)*(1+0.0102)*(1+0.0664)</f>
        <v>1.1270474903359999</v>
      </c>
      <c r="D29" s="616"/>
      <c r="E29" s="616"/>
      <c r="F29" s="616"/>
      <c r="G29" s="619">
        <v>-1</v>
      </c>
      <c r="H29" s="290"/>
      <c r="I29" s="290"/>
      <c r="K29">
        <f>(1+0.0099)*(1+0.08)</f>
        <v>1.090692</v>
      </c>
      <c r="L29">
        <f>C29*K29</f>
        <v>1.2292616813295525</v>
      </c>
      <c r="M29">
        <f>L29/C30</f>
        <v>1.4153847798843435</v>
      </c>
      <c r="N29">
        <f>M29-1</f>
        <v>0.41538477988434352</v>
      </c>
    </row>
    <row r="30" spans="1:14" ht="15">
      <c r="A30" s="290"/>
      <c r="B30" s="614"/>
      <c r="C30" s="620">
        <f>(1-0.1315)</f>
        <v>0.86850000000000005</v>
      </c>
      <c r="D30" s="621"/>
      <c r="E30" s="621"/>
      <c r="F30" s="621"/>
      <c r="G30" s="619"/>
      <c r="H30" s="290"/>
      <c r="I30" s="290"/>
    </row>
    <row r="31" spans="1:14">
      <c r="A31" s="290"/>
      <c r="B31" s="290"/>
      <c r="C31" s="290"/>
      <c r="D31" s="290"/>
      <c r="E31" s="290"/>
      <c r="F31" s="290"/>
      <c r="G31" s="290"/>
      <c r="H31" s="290"/>
      <c r="I31" s="290"/>
    </row>
    <row r="32" spans="1:14" ht="12.75" customHeight="1">
      <c r="A32" s="290"/>
      <c r="B32" s="612" t="s">
        <v>557</v>
      </c>
      <c r="C32" s="613">
        <f>(C29/C30)-1</f>
        <v>0.29769428939090381</v>
      </c>
      <c r="D32" s="613"/>
      <c r="E32" s="613"/>
      <c r="F32" s="613"/>
      <c r="G32" s="290"/>
      <c r="H32" s="290"/>
      <c r="I32" s="290"/>
    </row>
    <row r="33" spans="1:9" ht="12.75" customHeight="1">
      <c r="A33" s="290"/>
      <c r="B33" s="612"/>
      <c r="C33" s="613"/>
      <c r="D33" s="613"/>
      <c r="E33" s="613"/>
      <c r="F33" s="613"/>
      <c r="G33" s="290"/>
      <c r="H33" s="290"/>
      <c r="I33" s="290"/>
    </row>
    <row r="34" spans="1:9">
      <c r="A34" s="290"/>
      <c r="B34" s="290"/>
      <c r="C34" s="290"/>
      <c r="D34" s="290"/>
      <c r="E34" s="290"/>
      <c r="F34" s="290"/>
      <c r="G34" s="290"/>
      <c r="H34" s="290"/>
      <c r="I34" s="290"/>
    </row>
    <row r="35" spans="1:9">
      <c r="A35" s="290"/>
      <c r="B35" s="290"/>
      <c r="C35" s="290"/>
      <c r="D35" s="290"/>
      <c r="E35" s="290"/>
      <c r="F35" s="290"/>
      <c r="G35" s="290"/>
      <c r="H35" s="290"/>
      <c r="I35" s="290"/>
    </row>
    <row r="36" spans="1:9">
      <c r="A36" s="292" t="s">
        <v>572</v>
      </c>
      <c r="B36" s="290"/>
      <c r="C36" s="290"/>
      <c r="D36" s="290"/>
      <c r="E36" s="290"/>
      <c r="F36" s="290"/>
      <c r="G36" s="290"/>
      <c r="H36" s="290"/>
      <c r="I36" s="290"/>
    </row>
    <row r="38" spans="1:9" ht="29.25" customHeight="1">
      <c r="A38" s="611"/>
      <c r="B38" s="611"/>
      <c r="C38" s="611"/>
      <c r="D38" s="611"/>
      <c r="E38" s="611"/>
      <c r="F38" s="611"/>
      <c r="G38" s="611"/>
      <c r="H38" s="611"/>
      <c r="I38" s="611"/>
    </row>
  </sheetData>
  <mergeCells count="17">
    <mergeCell ref="B9:B10"/>
    <mergeCell ref="A1:G4"/>
    <mergeCell ref="A38:I38"/>
    <mergeCell ref="B32:B33"/>
    <mergeCell ref="C32:F33"/>
    <mergeCell ref="B29:B30"/>
    <mergeCell ref="C29:F29"/>
    <mergeCell ref="C26:F26"/>
    <mergeCell ref="G29:G30"/>
    <mergeCell ref="G25:G26"/>
    <mergeCell ref="C30:F30"/>
    <mergeCell ref="A6:G6"/>
    <mergeCell ref="C25:F25"/>
    <mergeCell ref="B25:B26"/>
    <mergeCell ref="C9:F9"/>
    <mergeCell ref="C10:F10"/>
    <mergeCell ref="G9:G10"/>
  </mergeCells>
  <pageMargins left="0.78740157480314965" right="0.78740157480314965" top="0.98425196850393704" bottom="0.98425196850393704" header="0.51181102362204722" footer="0.51181102362204722"/>
  <pageSetup paperSize="9" scale="95" orientation="portrait" horizontalDpi="4294967295" verticalDpi="4294967295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3A88B-7C56-4F66-B38B-ACF1877EABFB}">
  <dimension ref="A1:S190"/>
  <sheetViews>
    <sheetView zoomScale="115" zoomScaleNormal="115" zoomScaleSheetLayoutView="100" workbookViewId="0">
      <pane xSplit="3" ySplit="8" topLeftCell="D178" activePane="bottomRight" state="frozen"/>
      <selection pane="bottomRight" activeCell="B60" sqref="B60"/>
      <selection pane="bottomLeft" activeCell="A9" sqref="A9"/>
      <selection pane="topRight" activeCell="D1" sqref="D1"/>
    </sheetView>
  </sheetViews>
  <sheetFormatPr defaultRowHeight="12.75"/>
  <cols>
    <col min="2" max="2" width="62.5703125" customWidth="1"/>
    <col min="3" max="3" width="9.85546875" customWidth="1"/>
    <col min="4" max="4" width="9.140625" style="204"/>
    <col min="5" max="5" width="10" style="204" bestFit="1" customWidth="1"/>
    <col min="6" max="7" width="9.140625" style="204"/>
    <col min="8" max="8" width="10.140625" customWidth="1"/>
    <col min="9" max="17" width="0" hidden="1" customWidth="1"/>
    <col min="18" max="18" width="10" hidden="1" customWidth="1"/>
    <col min="19" max="19" width="14.140625" hidden="1" customWidth="1"/>
  </cols>
  <sheetData>
    <row r="1" spans="1:19">
      <c r="A1" s="629"/>
      <c r="B1" s="630"/>
      <c r="C1" s="630"/>
      <c r="D1" s="630"/>
      <c r="E1" s="630"/>
      <c r="F1" s="630"/>
      <c r="G1" s="630"/>
      <c r="H1" s="631"/>
    </row>
    <row r="2" spans="1:19" ht="15.75">
      <c r="A2" s="641"/>
      <c r="B2" s="525"/>
      <c r="C2" s="525"/>
      <c r="D2" s="525"/>
      <c r="E2" s="525"/>
      <c r="F2" s="525"/>
      <c r="G2" s="525"/>
      <c r="H2" s="642"/>
    </row>
    <row r="3" spans="1:19" ht="37.5" customHeight="1">
      <c r="A3" s="632" t="str">
        <f>PLANILHA!A4</f>
        <v>OBJETO: CONTRATAÇÃO DE EMPRESA ESPECIALIZADA EM ENGENHARIA PARA EXECUÇÃO DE SERVIÇOS DE DRENAGEM, TERRAPLENAGEM E PAVIMENTAÇÃO ASFÁLTICA, LOCALIZADA NA AV. MAÇARANDUBA, RUA DEUSANIRA, AV. BRAGANÇA, RUA GRAVIOLA, RUA JAMBEIRO, RUA ÓBIDOS, RUA SÃO MIGUEL E RUA SEBERI  NA CIDADE DE TUCUMÃ NO ESTADO DO PARÁ</v>
      </c>
      <c r="B3" s="633"/>
      <c r="C3" s="633"/>
      <c r="D3" s="633"/>
      <c r="E3" s="633"/>
      <c r="F3" s="633"/>
      <c r="G3" s="633"/>
      <c r="H3" s="634"/>
    </row>
    <row r="4" spans="1:19" ht="15.75">
      <c r="A4" s="641"/>
      <c r="B4" s="525"/>
      <c r="C4" s="525"/>
      <c r="D4" s="525"/>
      <c r="E4" s="525"/>
      <c r="F4" s="525"/>
      <c r="G4" s="525"/>
      <c r="H4" s="642"/>
    </row>
    <row r="5" spans="1:19" ht="33" customHeight="1">
      <c r="A5" s="643" t="s">
        <v>573</v>
      </c>
      <c r="B5" s="644"/>
      <c r="C5" s="644"/>
      <c r="D5" s="644"/>
      <c r="E5" s="644"/>
      <c r="F5" s="644"/>
      <c r="G5" s="644"/>
      <c r="H5" s="645"/>
    </row>
    <row r="6" spans="1:19" ht="20.25">
      <c r="A6" s="308"/>
      <c r="B6" s="309"/>
      <c r="C6" s="311"/>
      <c r="D6" s="648" t="s">
        <v>574</v>
      </c>
      <c r="E6" s="648"/>
      <c r="F6" s="648"/>
      <c r="G6" s="648"/>
      <c r="H6" s="648"/>
      <c r="I6" s="644" t="s">
        <v>574</v>
      </c>
      <c r="J6" s="644"/>
      <c r="K6" s="644"/>
      <c r="L6" s="644"/>
      <c r="M6" s="645"/>
      <c r="N6" s="643" t="s">
        <v>575</v>
      </c>
      <c r="O6" s="644"/>
      <c r="P6" s="644"/>
      <c r="Q6" s="644"/>
      <c r="R6" s="645"/>
      <c r="S6" s="91"/>
    </row>
    <row r="7" spans="1:19" ht="12.75" customHeight="1">
      <c r="A7" s="635" t="s">
        <v>576</v>
      </c>
      <c r="B7" s="637" t="s">
        <v>577</v>
      </c>
      <c r="C7" s="635" t="s">
        <v>578</v>
      </c>
      <c r="D7" s="639" t="s">
        <v>579</v>
      </c>
      <c r="E7" s="639" t="s">
        <v>533</v>
      </c>
      <c r="F7" s="639" t="s">
        <v>13</v>
      </c>
      <c r="G7" s="639" t="s">
        <v>244</v>
      </c>
      <c r="H7" s="646" t="s">
        <v>41</v>
      </c>
      <c r="I7" s="649" t="s">
        <v>579</v>
      </c>
      <c r="J7" s="639" t="s">
        <v>533</v>
      </c>
      <c r="K7" s="639" t="s">
        <v>13</v>
      </c>
      <c r="L7" s="639" t="s">
        <v>244</v>
      </c>
      <c r="M7" s="646" t="s">
        <v>41</v>
      </c>
      <c r="N7" s="639" t="s">
        <v>579</v>
      </c>
      <c r="O7" s="639" t="s">
        <v>533</v>
      </c>
      <c r="P7" s="639" t="s">
        <v>13</v>
      </c>
      <c r="Q7" s="639" t="s">
        <v>244</v>
      </c>
      <c r="R7" s="646" t="s">
        <v>41</v>
      </c>
      <c r="S7" s="646" t="s">
        <v>218</v>
      </c>
    </row>
    <row r="8" spans="1:19" ht="12.75" customHeight="1">
      <c r="A8" s="636"/>
      <c r="B8" s="638"/>
      <c r="C8" s="636"/>
      <c r="D8" s="640"/>
      <c r="E8" s="640"/>
      <c r="F8" s="640"/>
      <c r="G8" s="640"/>
      <c r="H8" s="647"/>
      <c r="I8" s="650"/>
      <c r="J8" s="640"/>
      <c r="K8" s="640"/>
      <c r="L8" s="640"/>
      <c r="M8" s="647"/>
      <c r="N8" s="640"/>
      <c r="O8" s="640"/>
      <c r="P8" s="640"/>
      <c r="Q8" s="640"/>
      <c r="R8" s="647"/>
      <c r="S8" s="647"/>
    </row>
    <row r="9" spans="1:19" ht="12.75" customHeight="1">
      <c r="A9" s="398" t="s">
        <v>580</v>
      </c>
      <c r="B9" s="399" t="str">
        <f>PLANILHA!D8</f>
        <v xml:space="preserve">ADMINISTRAÇÃO LOCAL  </v>
      </c>
      <c r="C9" s="400"/>
      <c r="D9" s="401"/>
      <c r="E9" s="401"/>
      <c r="F9" s="401"/>
      <c r="G9" s="401"/>
      <c r="H9" s="402"/>
      <c r="I9" s="365"/>
      <c r="J9" s="365"/>
      <c r="K9" s="365"/>
      <c r="L9" s="365"/>
      <c r="M9" s="366"/>
      <c r="N9" s="365"/>
      <c r="O9" s="365"/>
      <c r="P9" s="365"/>
      <c r="Q9" s="365"/>
      <c r="R9" s="366"/>
      <c r="S9" s="348"/>
    </row>
    <row r="10" spans="1:19" ht="12.75" customHeight="1">
      <c r="A10" s="301" t="s">
        <v>66</v>
      </c>
      <c r="B10" s="302" t="str">
        <f>PLANILHA!D8</f>
        <v xml:space="preserve">ADMINISTRAÇÃO LOCAL  </v>
      </c>
      <c r="C10" s="301" t="s">
        <v>581</v>
      </c>
      <c r="D10" s="306"/>
      <c r="E10" s="306"/>
      <c r="F10" s="306"/>
      <c r="G10" s="306"/>
      <c r="H10" s="328"/>
      <c r="I10" s="365"/>
      <c r="J10" s="365"/>
      <c r="K10" s="365"/>
      <c r="L10" s="365"/>
      <c r="M10" s="366"/>
      <c r="N10" s="365"/>
      <c r="O10" s="365"/>
      <c r="P10" s="365"/>
      <c r="Q10" s="365"/>
      <c r="R10" s="366"/>
      <c r="S10" s="348"/>
    </row>
    <row r="11" spans="1:19" ht="12.75" customHeight="1">
      <c r="A11" s="303"/>
      <c r="B11" s="304" t="s">
        <v>582</v>
      </c>
      <c r="C11" s="303"/>
      <c r="D11" s="307">
        <v>3</v>
      </c>
      <c r="E11" s="307">
        <v>1</v>
      </c>
      <c r="F11" s="307">
        <v>1</v>
      </c>
      <c r="G11" s="307">
        <v>1</v>
      </c>
      <c r="H11" s="323">
        <f>D11*E11*F11*G11</f>
        <v>3</v>
      </c>
      <c r="I11" s="365"/>
      <c r="J11" s="365"/>
      <c r="K11" s="365"/>
      <c r="L11" s="365"/>
      <c r="M11" s="366"/>
      <c r="N11" s="365"/>
      <c r="O11" s="365"/>
      <c r="P11" s="365"/>
      <c r="Q11" s="365"/>
      <c r="R11" s="366"/>
      <c r="S11" s="348"/>
    </row>
    <row r="12" spans="1:19" ht="12.75" customHeight="1">
      <c r="A12" s="303"/>
      <c r="B12" s="310"/>
      <c r="C12" s="626" t="s">
        <v>583</v>
      </c>
      <c r="D12" s="627"/>
      <c r="E12" s="627"/>
      <c r="F12" s="627"/>
      <c r="G12" s="628"/>
      <c r="H12" s="325">
        <f>SUM(H11)</f>
        <v>3</v>
      </c>
      <c r="I12" s="305"/>
      <c r="J12" s="305"/>
      <c r="K12" s="305"/>
      <c r="L12" s="305"/>
      <c r="M12" s="300"/>
      <c r="N12" s="305"/>
      <c r="O12" s="305"/>
      <c r="P12" s="305"/>
      <c r="Q12" s="305"/>
      <c r="R12" s="300"/>
      <c r="S12" s="312"/>
    </row>
    <row r="13" spans="1:19" ht="12.75" customHeight="1">
      <c r="A13" s="398" t="s">
        <v>584</v>
      </c>
      <c r="B13" s="399" t="str">
        <f>PLANILHA!D12</f>
        <v>SERVIÇOS PRELIMINARES</v>
      </c>
      <c r="C13" s="400"/>
      <c r="D13" s="401"/>
      <c r="E13" s="401"/>
      <c r="F13" s="401"/>
      <c r="G13" s="401"/>
      <c r="H13" s="402"/>
      <c r="I13" s="305"/>
      <c r="J13" s="305"/>
      <c r="K13" s="305"/>
      <c r="L13" s="305"/>
      <c r="M13" s="300"/>
      <c r="N13" s="305"/>
      <c r="O13" s="305"/>
      <c r="P13" s="305"/>
      <c r="Q13" s="305"/>
      <c r="R13" s="300"/>
      <c r="S13" s="312"/>
    </row>
    <row r="14" spans="1:19" ht="12.75" customHeight="1">
      <c r="A14" s="301" t="s">
        <v>68</v>
      </c>
      <c r="B14" s="302" t="str">
        <f>PLANILHA!D13</f>
        <v>CANTEIRO DE OBRAS</v>
      </c>
      <c r="C14" s="301" t="s">
        <v>32</v>
      </c>
      <c r="D14" s="306"/>
      <c r="E14" s="306"/>
      <c r="F14" s="306"/>
      <c r="G14" s="306"/>
      <c r="H14" s="328"/>
      <c r="I14" s="305"/>
      <c r="J14" s="305"/>
      <c r="K14" s="305"/>
      <c r="L14" s="305"/>
      <c r="M14" s="300"/>
      <c r="N14" s="305"/>
      <c r="O14" s="305"/>
      <c r="P14" s="305"/>
      <c r="Q14" s="305"/>
      <c r="R14" s="300"/>
      <c r="S14" s="312"/>
    </row>
    <row r="15" spans="1:19" ht="22.5">
      <c r="A15" s="303" t="s">
        <v>94</v>
      </c>
      <c r="B15" s="304" t="s">
        <v>96</v>
      </c>
      <c r="C15" s="303" t="s">
        <v>32</v>
      </c>
      <c r="D15" s="307">
        <v>1</v>
      </c>
      <c r="E15" s="307">
        <v>3</v>
      </c>
      <c r="F15" s="307">
        <v>2</v>
      </c>
      <c r="G15" s="307">
        <v>1</v>
      </c>
      <c r="H15" s="323">
        <f>D15*E15*F15*G15</f>
        <v>6</v>
      </c>
      <c r="I15" s="305"/>
      <c r="J15" s="305"/>
      <c r="K15" s="305"/>
      <c r="L15" s="305"/>
      <c r="M15" s="300"/>
      <c r="N15" s="305"/>
      <c r="O15" s="305"/>
      <c r="P15" s="305"/>
      <c r="Q15" s="305"/>
      <c r="R15" s="300"/>
      <c r="S15" s="312"/>
    </row>
    <row r="16" spans="1:19" ht="33.75">
      <c r="A16" s="303" t="s">
        <v>98</v>
      </c>
      <c r="B16" s="304" t="s">
        <v>255</v>
      </c>
      <c r="C16" s="303" t="s">
        <v>581</v>
      </c>
      <c r="D16" s="307">
        <v>1</v>
      </c>
      <c r="E16" s="307">
        <v>3</v>
      </c>
      <c r="F16" s="307">
        <v>1</v>
      </c>
      <c r="G16" s="307">
        <v>1</v>
      </c>
      <c r="H16" s="375">
        <f>D16*E16*F16*G16</f>
        <v>3</v>
      </c>
      <c r="I16" s="305"/>
      <c r="J16" s="305"/>
      <c r="K16" s="305"/>
      <c r="L16" s="305"/>
      <c r="M16" s="300"/>
      <c r="N16" s="305"/>
      <c r="O16" s="305"/>
      <c r="P16" s="305"/>
      <c r="Q16" s="305"/>
      <c r="R16" s="300"/>
      <c r="S16" s="312"/>
    </row>
    <row r="17" spans="1:19" ht="33.75">
      <c r="A17" s="303" t="s">
        <v>98</v>
      </c>
      <c r="B17" s="304" t="s">
        <v>258</v>
      </c>
      <c r="C17" s="303" t="s">
        <v>581</v>
      </c>
      <c r="D17" s="307">
        <v>1</v>
      </c>
      <c r="E17" s="307">
        <v>3</v>
      </c>
      <c r="F17" s="307">
        <v>1</v>
      </c>
      <c r="G17" s="307">
        <v>1</v>
      </c>
      <c r="H17" s="375">
        <f>D17*E17*F17*G17</f>
        <v>3</v>
      </c>
      <c r="I17" s="305"/>
      <c r="J17" s="305"/>
      <c r="K17" s="305"/>
      <c r="L17" s="305"/>
      <c r="M17" s="300"/>
      <c r="N17" s="305"/>
      <c r="O17" s="305"/>
      <c r="P17" s="305"/>
      <c r="Q17" s="305"/>
      <c r="R17" s="300"/>
      <c r="S17" s="312"/>
    </row>
    <row r="18" spans="1:19" ht="33.75">
      <c r="A18" s="303" t="s">
        <v>98</v>
      </c>
      <c r="B18" s="304" t="s">
        <v>259</v>
      </c>
      <c r="C18" s="303" t="s">
        <v>581</v>
      </c>
      <c r="D18" s="307">
        <v>1</v>
      </c>
      <c r="E18" s="307">
        <v>3</v>
      </c>
      <c r="F18" s="307">
        <v>1</v>
      </c>
      <c r="G18" s="307">
        <v>1</v>
      </c>
      <c r="H18" s="375">
        <f>D18*E18*F18*G18</f>
        <v>3</v>
      </c>
      <c r="I18" s="305"/>
      <c r="J18" s="305"/>
      <c r="K18" s="305"/>
      <c r="L18" s="305"/>
      <c r="M18" s="300"/>
      <c r="N18" s="305"/>
      <c r="O18" s="305"/>
      <c r="P18" s="305"/>
      <c r="Q18" s="305"/>
      <c r="R18" s="300"/>
      <c r="S18" s="312"/>
    </row>
    <row r="19" spans="1:19" ht="12.75" customHeight="1">
      <c r="A19" s="301" t="s">
        <v>101</v>
      </c>
      <c r="B19" s="302" t="str">
        <f>PLANILHA!D16</f>
        <v>DEMOLIÇÕES</v>
      </c>
      <c r="C19" s="301"/>
      <c r="D19" s="306"/>
      <c r="E19" s="306"/>
      <c r="F19" s="306"/>
      <c r="G19" s="306"/>
      <c r="H19" s="328"/>
      <c r="I19" s="305"/>
      <c r="J19" s="305"/>
      <c r="K19" s="305"/>
      <c r="L19" s="305"/>
      <c r="M19" s="300"/>
      <c r="N19" s="305"/>
      <c r="O19" s="305"/>
      <c r="P19" s="305"/>
      <c r="Q19" s="305"/>
      <c r="R19" s="300"/>
      <c r="S19" s="312"/>
    </row>
    <row r="20" spans="1:19" ht="12.75" customHeight="1">
      <c r="A20" s="303" t="s">
        <v>103</v>
      </c>
      <c r="B20" s="304" t="s">
        <v>585</v>
      </c>
      <c r="C20" s="303" t="s">
        <v>31</v>
      </c>
      <c r="D20" s="307">
        <v>1</v>
      </c>
      <c r="E20" s="307">
        <v>1</v>
      </c>
      <c r="F20" s="307">
        <v>3635.43</v>
      </c>
      <c r="G20" s="307">
        <v>0.08</v>
      </c>
      <c r="H20" s="323">
        <f>D20*E20*F20*G20</f>
        <v>290.83440000000002</v>
      </c>
      <c r="I20" s="305"/>
      <c r="J20" s="305"/>
      <c r="K20" s="305"/>
      <c r="L20" s="305"/>
      <c r="M20" s="300"/>
      <c r="N20" s="305"/>
      <c r="O20" s="305"/>
      <c r="P20" s="305"/>
      <c r="Q20" s="305"/>
      <c r="R20" s="300"/>
      <c r="S20" s="312"/>
    </row>
    <row r="21" spans="1:19" ht="12.75" customHeight="1">
      <c r="A21" s="303" t="s">
        <v>105</v>
      </c>
      <c r="B21" s="304" t="s">
        <v>586</v>
      </c>
      <c r="C21" s="303" t="s">
        <v>24</v>
      </c>
      <c r="D21" s="307">
        <v>0.1</v>
      </c>
      <c r="E21" s="307">
        <v>1</v>
      </c>
      <c r="F21" s="307">
        <v>3306.4</v>
      </c>
      <c r="G21" s="307">
        <v>1</v>
      </c>
      <c r="H21" s="323">
        <f>D21*E21*F21*G21</f>
        <v>330.64000000000004</v>
      </c>
      <c r="I21" s="305"/>
      <c r="J21" s="305"/>
      <c r="K21" s="305"/>
      <c r="L21" s="305"/>
      <c r="M21" s="300"/>
      <c r="N21" s="305"/>
      <c r="O21" s="305"/>
      <c r="P21" s="305"/>
      <c r="Q21" s="305"/>
      <c r="R21" s="300"/>
      <c r="S21" s="312"/>
    </row>
    <row r="22" spans="1:19" ht="12.75" customHeight="1">
      <c r="A22" s="303" t="s">
        <v>108</v>
      </c>
      <c r="B22" s="304" t="s">
        <v>587</v>
      </c>
      <c r="C22" s="303" t="s">
        <v>588</v>
      </c>
      <c r="D22" s="307">
        <v>0.6</v>
      </c>
      <c r="E22" s="307">
        <v>1</v>
      </c>
      <c r="F22" s="307">
        <v>3517.44</v>
      </c>
      <c r="G22" s="307">
        <v>1</v>
      </c>
      <c r="H22" s="323">
        <f>D22*E22*F22*G22</f>
        <v>2110.4639999999999</v>
      </c>
      <c r="I22" s="305"/>
      <c r="J22" s="305"/>
      <c r="K22" s="305"/>
      <c r="L22" s="305"/>
      <c r="M22" s="300"/>
      <c r="N22" s="305"/>
      <c r="O22" s="305"/>
      <c r="P22" s="305"/>
      <c r="Q22" s="305"/>
      <c r="R22" s="300"/>
      <c r="S22" s="312"/>
    </row>
    <row r="23" spans="1:19" ht="12.75" customHeight="1">
      <c r="A23" s="303" t="s">
        <v>110</v>
      </c>
      <c r="B23" s="313" t="s">
        <v>589</v>
      </c>
      <c r="C23" s="303" t="s">
        <v>588</v>
      </c>
      <c r="D23" s="307">
        <v>1</v>
      </c>
      <c r="E23" s="307">
        <v>556</v>
      </c>
      <c r="F23" s="307">
        <v>6</v>
      </c>
      <c r="G23" s="307">
        <v>1</v>
      </c>
      <c r="H23" s="323">
        <f>D23*E23*F23*G23</f>
        <v>3336</v>
      </c>
      <c r="I23" s="305"/>
      <c r="J23" s="305"/>
      <c r="K23" s="305"/>
      <c r="L23" s="305"/>
      <c r="M23" s="300"/>
      <c r="N23" s="305"/>
      <c r="O23" s="305"/>
      <c r="P23" s="305"/>
      <c r="Q23" s="305"/>
      <c r="R23" s="300"/>
      <c r="S23" s="312"/>
    </row>
    <row r="24" spans="1:19" ht="12.75" customHeight="1">
      <c r="A24" s="303" t="s">
        <v>112</v>
      </c>
      <c r="B24" s="345" t="s">
        <v>590</v>
      </c>
      <c r="C24" s="303" t="s">
        <v>31</v>
      </c>
      <c r="D24" s="346">
        <f>H20</f>
        <v>290.83440000000002</v>
      </c>
      <c r="E24" s="346">
        <f>H21*0.15*0.3</f>
        <v>14.8788</v>
      </c>
      <c r="F24" s="346">
        <f>H22*0.05</f>
        <v>105.5232</v>
      </c>
      <c r="G24" s="465">
        <f>H23*0.08</f>
        <v>266.88</v>
      </c>
      <c r="H24" s="323">
        <f>D24+E24+F24+G24</f>
        <v>678.1164</v>
      </c>
      <c r="I24" s="305"/>
      <c r="J24" s="305"/>
      <c r="K24" s="305"/>
      <c r="L24" s="305"/>
      <c r="M24" s="300"/>
      <c r="N24" s="305"/>
      <c r="O24" s="305"/>
      <c r="P24" s="305"/>
      <c r="Q24" s="305"/>
      <c r="R24" s="300"/>
      <c r="S24" s="312"/>
    </row>
    <row r="25" spans="1:19" ht="12.75" customHeight="1">
      <c r="A25" s="303" t="s">
        <v>115</v>
      </c>
      <c r="B25" s="304" t="s">
        <v>591</v>
      </c>
      <c r="C25" s="303" t="s">
        <v>592</v>
      </c>
      <c r="D25" s="307">
        <v>8</v>
      </c>
      <c r="E25" s="307">
        <f>H24</f>
        <v>678.1164</v>
      </c>
      <c r="F25" s="307">
        <v>1</v>
      </c>
      <c r="G25" s="307">
        <v>1.25</v>
      </c>
      <c r="H25" s="323">
        <f>D25*E25*F25*G25</f>
        <v>6781.1639999999998</v>
      </c>
      <c r="I25" s="305"/>
      <c r="J25" s="305"/>
      <c r="K25" s="305"/>
      <c r="L25" s="305"/>
      <c r="M25" s="300"/>
      <c r="N25" s="305"/>
      <c r="O25" s="305"/>
      <c r="P25" s="305"/>
      <c r="Q25" s="305"/>
      <c r="R25" s="300"/>
      <c r="S25" s="312"/>
    </row>
    <row r="26" spans="1:19" ht="12.75" customHeight="1">
      <c r="A26" s="398" t="s">
        <v>593</v>
      </c>
      <c r="B26" s="399" t="str">
        <f>PLANILHA!D25</f>
        <v>MOBILIZAÇÃO E DESMOBILIZAÇÃO</v>
      </c>
      <c r="C26" s="400"/>
      <c r="D26" s="401"/>
      <c r="E26" s="401"/>
      <c r="F26" s="401"/>
      <c r="G26" s="401"/>
      <c r="H26" s="402"/>
      <c r="I26" s="305"/>
      <c r="J26" s="305"/>
      <c r="K26" s="305"/>
      <c r="L26" s="305"/>
      <c r="M26" s="300"/>
      <c r="N26" s="305"/>
      <c r="O26" s="305"/>
      <c r="P26" s="305"/>
      <c r="Q26" s="305"/>
      <c r="R26" s="300"/>
      <c r="S26" s="312"/>
    </row>
    <row r="27" spans="1:19" ht="12.75" customHeight="1">
      <c r="A27" s="315" t="s">
        <v>73</v>
      </c>
      <c r="B27" s="302" t="str">
        <f>PLANILHA!D26</f>
        <v>MOBILIZAÇÃO E DESMOBILIZAÇÃO DA OBRA</v>
      </c>
      <c r="C27" s="301" t="s">
        <v>594</v>
      </c>
      <c r="D27" s="306"/>
      <c r="E27" s="306"/>
      <c r="F27" s="306"/>
      <c r="G27" s="306"/>
      <c r="H27" s="328"/>
      <c r="I27" s="327"/>
      <c r="J27" s="306"/>
      <c r="K27" s="306"/>
      <c r="L27" s="306"/>
      <c r="M27" s="316"/>
      <c r="N27" s="306"/>
      <c r="O27" s="306"/>
      <c r="P27" s="306"/>
      <c r="Q27" s="306"/>
      <c r="R27" s="316"/>
      <c r="S27" s="320"/>
    </row>
    <row r="28" spans="1:19" ht="12.75" customHeight="1">
      <c r="A28" s="303"/>
      <c r="B28" s="304" t="s">
        <v>595</v>
      </c>
      <c r="C28" s="303"/>
      <c r="D28" s="307">
        <v>0.5</v>
      </c>
      <c r="E28" s="307">
        <v>1</v>
      </c>
      <c r="F28" s="307">
        <v>1</v>
      </c>
      <c r="G28" s="307">
        <v>1</v>
      </c>
      <c r="H28" s="323">
        <f>D28*E28*F28*G28</f>
        <v>0.5</v>
      </c>
      <c r="I28" s="326"/>
      <c r="J28" s="307"/>
      <c r="K28" s="307"/>
      <c r="L28" s="307"/>
      <c r="M28" s="317">
        <f>I28*J28*K28*L28</f>
        <v>0</v>
      </c>
      <c r="N28" s="307"/>
      <c r="O28" s="307"/>
      <c r="P28" s="307"/>
      <c r="Q28" s="307"/>
      <c r="R28" s="317">
        <f>N28*O28*P28*Q28</f>
        <v>0</v>
      </c>
      <c r="S28" s="321"/>
    </row>
    <row r="29" spans="1:19" ht="12.75" customHeight="1">
      <c r="A29" s="303"/>
      <c r="B29" s="313" t="s">
        <v>596</v>
      </c>
      <c r="C29" s="303"/>
      <c r="D29" s="307">
        <v>0.5</v>
      </c>
      <c r="E29" s="307">
        <v>1</v>
      </c>
      <c r="F29" s="307">
        <v>1</v>
      </c>
      <c r="G29" s="307">
        <v>1</v>
      </c>
      <c r="H29" s="323">
        <f>D29*E29*F29*G29</f>
        <v>0.5</v>
      </c>
      <c r="I29" s="326"/>
      <c r="J29" s="307"/>
      <c r="K29" s="307"/>
      <c r="L29" s="307"/>
      <c r="M29" s="317">
        <f>I29*J29*K29*L29</f>
        <v>0</v>
      </c>
      <c r="N29" s="307"/>
      <c r="O29" s="307"/>
      <c r="P29" s="307"/>
      <c r="Q29" s="307"/>
      <c r="R29" s="317">
        <f>N29*O29*P29*Q29</f>
        <v>0</v>
      </c>
      <c r="S29" s="321"/>
    </row>
    <row r="30" spans="1:19" ht="12.75" customHeight="1">
      <c r="A30" s="303"/>
      <c r="B30" s="310"/>
      <c r="C30" s="626" t="s">
        <v>583</v>
      </c>
      <c r="D30" s="627"/>
      <c r="E30" s="627"/>
      <c r="F30" s="627"/>
      <c r="G30" s="628"/>
      <c r="H30" s="325">
        <f>SUM(H28:H29)</f>
        <v>1</v>
      </c>
      <c r="I30" s="627"/>
      <c r="J30" s="627"/>
      <c r="K30" s="627"/>
      <c r="L30" s="628"/>
      <c r="M30" s="318">
        <f>SUM(M28:M29)</f>
        <v>0</v>
      </c>
      <c r="N30" s="627"/>
      <c r="O30" s="627"/>
      <c r="P30" s="627"/>
      <c r="Q30" s="628"/>
      <c r="R30" s="318">
        <f>SUM(R28:R29)</f>
        <v>0</v>
      </c>
      <c r="S30" s="321">
        <f>SUM(H30,M30,R30)</f>
        <v>1</v>
      </c>
    </row>
    <row r="31" spans="1:19" ht="12.75" customHeight="1">
      <c r="A31" s="398">
        <v>4</v>
      </c>
      <c r="B31" s="399" t="str">
        <f>PLANILHA!D29</f>
        <v>DRENAGEM PROFUNDA</v>
      </c>
      <c r="C31" s="400"/>
      <c r="D31" s="401"/>
      <c r="E31" s="401"/>
      <c r="F31" s="401"/>
      <c r="G31" s="401"/>
      <c r="H31" s="402"/>
      <c r="I31" s="305"/>
      <c r="J31" s="305"/>
      <c r="K31" s="305"/>
      <c r="L31" s="305"/>
      <c r="M31" s="300"/>
      <c r="N31" s="305"/>
      <c r="O31" s="305"/>
      <c r="P31" s="305"/>
      <c r="Q31" s="305"/>
      <c r="R31" s="300"/>
      <c r="S31" s="321"/>
    </row>
    <row r="32" spans="1:19" ht="45">
      <c r="A32" s="315" t="s">
        <v>125</v>
      </c>
      <c r="B32" s="302" t="str">
        <f>PLANILHA!D30</f>
        <v>ESCAVAÇÃO MECANIZADA DE VALA COM PROF. DE 3,0 M ATÉ 4,5 M(MÉDIA ENTRE MONTANTE E JUSANTE/UMA COMPOSIÇÃO POR TRECHO), COM ESCAVADEIRA HIDRÁUL ICA (1,2 M3/155 HP), LARG. DE 1,5 M A 2,5 M, EM SOLO DE 1A CATEGORIA, EM LOCAIS COM ALTO NÍVEL DE INTERFERÊNCIA. (REDE PRINCIPAL)</v>
      </c>
      <c r="C32" s="301" t="s">
        <v>31</v>
      </c>
      <c r="D32" s="306"/>
      <c r="E32" s="306"/>
      <c r="F32" s="306"/>
      <c r="G32" s="306"/>
      <c r="H32" s="328"/>
      <c r="I32" s="305"/>
      <c r="J32" s="305"/>
      <c r="K32" s="305"/>
      <c r="L32" s="305"/>
      <c r="M32" s="300"/>
      <c r="N32" s="305"/>
      <c r="O32" s="305"/>
      <c r="P32" s="305"/>
      <c r="Q32" s="305"/>
      <c r="R32" s="300"/>
      <c r="S32" s="321"/>
    </row>
    <row r="33" spans="1:19" ht="12.75" customHeight="1">
      <c r="A33" s="303"/>
      <c r="B33" s="304" t="s">
        <v>597</v>
      </c>
      <c r="C33" s="303" t="s">
        <v>598</v>
      </c>
      <c r="D33" s="307">
        <v>461.58</v>
      </c>
      <c r="E33" s="307">
        <v>1</v>
      </c>
      <c r="F33" s="307">
        <v>1</v>
      </c>
      <c r="G33" s="307">
        <v>1</v>
      </c>
      <c r="H33" s="323">
        <f>D33*E33*F33*G33</f>
        <v>461.58</v>
      </c>
      <c r="I33" s="305"/>
      <c r="J33" s="305"/>
      <c r="K33" s="305"/>
      <c r="L33" s="305"/>
      <c r="M33" s="300"/>
      <c r="N33" s="305"/>
      <c r="O33" s="305"/>
      <c r="P33" s="305"/>
      <c r="Q33" s="305"/>
      <c r="R33" s="300"/>
      <c r="S33" s="321"/>
    </row>
    <row r="34" spans="1:19" ht="12.75" customHeight="1">
      <c r="A34" s="303"/>
      <c r="B34" s="304" t="s">
        <v>597</v>
      </c>
      <c r="C34" s="303" t="s">
        <v>599</v>
      </c>
      <c r="D34" s="307">
        <v>4795.43</v>
      </c>
      <c r="E34" s="307">
        <v>1</v>
      </c>
      <c r="F34" s="307">
        <v>1</v>
      </c>
      <c r="G34" s="307">
        <v>1</v>
      </c>
      <c r="H34" s="323">
        <f>D34*E34*F34*G34</f>
        <v>4795.43</v>
      </c>
      <c r="I34" s="305"/>
      <c r="J34" s="305"/>
      <c r="K34" s="305"/>
      <c r="L34" s="305"/>
      <c r="M34" s="300"/>
      <c r="N34" s="305"/>
      <c r="O34" s="305"/>
      <c r="P34" s="305"/>
      <c r="Q34" s="305"/>
      <c r="R34" s="300"/>
      <c r="S34" s="321"/>
    </row>
    <row r="35" spans="1:19" ht="12.75" customHeight="1">
      <c r="A35" s="303"/>
      <c r="B35" s="304" t="s">
        <v>597</v>
      </c>
      <c r="C35" s="303" t="s">
        <v>600</v>
      </c>
      <c r="D35" s="307">
        <v>0</v>
      </c>
      <c r="E35" s="307">
        <v>1.6</v>
      </c>
      <c r="F35" s="307">
        <v>1</v>
      </c>
      <c r="G35" s="307">
        <v>1</v>
      </c>
      <c r="H35" s="323">
        <f>D35*E35*F35*G35</f>
        <v>0</v>
      </c>
      <c r="I35" s="305"/>
      <c r="J35" s="305"/>
      <c r="K35" s="305"/>
      <c r="L35" s="305"/>
      <c r="M35" s="300"/>
      <c r="N35" s="305"/>
      <c r="O35" s="305"/>
      <c r="P35" s="305"/>
      <c r="Q35" s="305"/>
      <c r="R35" s="300"/>
      <c r="S35" s="321"/>
    </row>
    <row r="36" spans="1:19" ht="12.75" customHeight="1">
      <c r="A36" s="303"/>
      <c r="B36" s="313"/>
      <c r="C36" s="314"/>
      <c r="D36" s="307"/>
      <c r="E36" s="307"/>
      <c r="F36" s="307"/>
      <c r="G36" s="307"/>
      <c r="H36" s="323">
        <f>D36*E36*F36*G36</f>
        <v>0</v>
      </c>
      <c r="I36" s="305"/>
      <c r="J36" s="305"/>
      <c r="K36" s="305"/>
      <c r="L36" s="305"/>
      <c r="M36" s="300"/>
      <c r="N36" s="305"/>
      <c r="O36" s="305"/>
      <c r="P36" s="305"/>
      <c r="Q36" s="305"/>
      <c r="R36" s="300"/>
      <c r="S36" s="321"/>
    </row>
    <row r="37" spans="1:19" ht="12.75" customHeight="1">
      <c r="A37" s="303"/>
      <c r="B37" s="310"/>
      <c r="C37" s="626" t="s">
        <v>583</v>
      </c>
      <c r="D37" s="627"/>
      <c r="E37" s="627"/>
      <c r="F37" s="627"/>
      <c r="G37" s="628"/>
      <c r="H37" s="325">
        <f>SUM(H33:S36)</f>
        <v>5257.01</v>
      </c>
      <c r="I37" s="305"/>
      <c r="J37" s="305"/>
      <c r="K37" s="305"/>
      <c r="L37" s="305"/>
      <c r="M37" s="300"/>
      <c r="N37" s="305"/>
      <c r="O37" s="305"/>
      <c r="P37" s="305"/>
      <c r="Q37" s="305"/>
      <c r="R37" s="300"/>
      <c r="S37" s="321"/>
    </row>
    <row r="38" spans="1:19" ht="56.25">
      <c r="A38" s="315" t="s">
        <v>127</v>
      </c>
      <c r="B38" s="302" t="str">
        <f>PLANILHA!D31</f>
        <v>ESCAVAÇÃO MECANIZADA DE VALA COM PROF. MAIOR QUE 1,5 M ATÉ 3,0 M (MÉDIA ENTRE MONTANTE E JUSANTE/UMA COMPOSIÇÃO POR TRECHO), COM ESCAVADEIRA HIDRÁULICA (0,8 M3/111 HP), LARGURA ATÉ 1,5 M, EM SOLO DE 1A CATEGORIA, EM LOCAIS COM ALTO NÍVEL DE INTERFERÊNCIA. (REDE COLETORA BL)</v>
      </c>
      <c r="C38" s="301" t="s">
        <v>31</v>
      </c>
      <c r="D38" s="306"/>
      <c r="E38" s="306"/>
      <c r="F38" s="306"/>
      <c r="G38" s="306"/>
      <c r="H38" s="328"/>
      <c r="I38" s="305"/>
      <c r="J38" s="305"/>
      <c r="K38" s="305"/>
      <c r="L38" s="305"/>
      <c r="M38" s="300"/>
      <c r="N38" s="305"/>
      <c r="O38" s="305"/>
      <c r="P38" s="305"/>
      <c r="Q38" s="305"/>
      <c r="R38" s="300"/>
      <c r="S38" s="321"/>
    </row>
    <row r="39" spans="1:19" ht="12.75" customHeight="1">
      <c r="A39" s="303"/>
      <c r="B39" s="304" t="s">
        <v>601</v>
      </c>
      <c r="C39" s="303" t="s">
        <v>602</v>
      </c>
      <c r="D39" s="307">
        <v>314.5</v>
      </c>
      <c r="E39" s="307">
        <v>1</v>
      </c>
      <c r="F39" s="307">
        <v>1</v>
      </c>
      <c r="G39" s="307">
        <v>1</v>
      </c>
      <c r="H39" s="323">
        <f>D39*E39*F39*G39</f>
        <v>314.5</v>
      </c>
      <c r="I39" s="305"/>
      <c r="J39" s="305"/>
      <c r="K39" s="305"/>
      <c r="L39" s="305"/>
      <c r="M39" s="300"/>
      <c r="N39" s="305"/>
      <c r="O39" s="305"/>
      <c r="P39" s="305"/>
      <c r="Q39" s="305"/>
      <c r="R39" s="300"/>
      <c r="S39" s="321"/>
    </row>
    <row r="40" spans="1:19" ht="12.75" customHeight="1">
      <c r="A40" s="303"/>
      <c r="B40" s="313"/>
      <c r="C40" s="314"/>
      <c r="D40" s="307"/>
      <c r="E40" s="307"/>
      <c r="F40" s="307"/>
      <c r="G40" s="307"/>
      <c r="H40" s="323">
        <f>D40*E40*F40*G40</f>
        <v>0</v>
      </c>
      <c r="I40" s="305"/>
      <c r="J40" s="305"/>
      <c r="K40" s="305"/>
      <c r="L40" s="305"/>
      <c r="M40" s="300"/>
      <c r="N40" s="305"/>
      <c r="O40" s="305"/>
      <c r="P40" s="305"/>
      <c r="Q40" s="305"/>
      <c r="R40" s="300"/>
      <c r="S40" s="321"/>
    </row>
    <row r="41" spans="1:19" ht="12.75" customHeight="1">
      <c r="A41" s="303"/>
      <c r="B41" s="310"/>
      <c r="C41" s="367" t="s">
        <v>583</v>
      </c>
      <c r="D41" s="368"/>
      <c r="E41" s="368"/>
      <c r="F41" s="368"/>
      <c r="G41" s="369"/>
      <c r="H41" s="325">
        <f>SUM(H39:H40)</f>
        <v>314.5</v>
      </c>
      <c r="I41" s="305"/>
      <c r="J41" s="305"/>
      <c r="K41" s="305"/>
      <c r="L41" s="305"/>
      <c r="M41" s="300"/>
      <c r="N41" s="305"/>
      <c r="O41" s="305"/>
      <c r="P41" s="305"/>
      <c r="Q41" s="305"/>
      <c r="R41" s="300"/>
      <c r="S41" s="321"/>
    </row>
    <row r="42" spans="1:19" ht="22.5">
      <c r="A42" s="315" t="s">
        <v>129</v>
      </c>
      <c r="B42" s="302" t="str">
        <f>PLANILHA!D32</f>
        <v>PREPARO DE FUNDO DE VALA COM LARGURA MAIOR OU IGUAL A 1,5 M E MENOR QU E 2,5 M (ACERTO DO SOLO NATURAL).</v>
      </c>
      <c r="C42" s="301" t="s">
        <v>588</v>
      </c>
      <c r="D42" s="306"/>
      <c r="E42" s="306"/>
      <c r="F42" s="306"/>
      <c r="G42" s="306"/>
      <c r="H42" s="328"/>
      <c r="I42" s="305"/>
      <c r="J42" s="305"/>
      <c r="K42" s="305"/>
      <c r="L42" s="305"/>
      <c r="M42" s="300"/>
      <c r="N42" s="305"/>
      <c r="O42" s="305"/>
      <c r="P42" s="305"/>
      <c r="Q42" s="305"/>
      <c r="R42" s="300"/>
      <c r="S42" s="321"/>
    </row>
    <row r="43" spans="1:19" ht="12.75" customHeight="1">
      <c r="A43" s="303"/>
      <c r="B43" s="304" t="s">
        <v>603</v>
      </c>
      <c r="C43" s="303"/>
      <c r="D43" s="307">
        <v>2341.5500000000002</v>
      </c>
      <c r="E43" s="307">
        <v>1</v>
      </c>
      <c r="F43" s="307">
        <v>1</v>
      </c>
      <c r="G43" s="307">
        <v>1</v>
      </c>
      <c r="H43" s="323">
        <f>D43*E43*F43*G43</f>
        <v>2341.5500000000002</v>
      </c>
      <c r="I43" s="305"/>
      <c r="J43" s="305"/>
      <c r="K43" s="305"/>
      <c r="L43" s="305"/>
      <c r="M43" s="300"/>
      <c r="N43" s="305"/>
      <c r="O43" s="305"/>
      <c r="P43" s="305"/>
      <c r="Q43" s="305"/>
      <c r="R43" s="300"/>
      <c r="S43" s="321"/>
    </row>
    <row r="44" spans="1:19" ht="12.75" customHeight="1">
      <c r="A44" s="303"/>
      <c r="B44" s="304"/>
      <c r="C44" s="303"/>
      <c r="D44" s="307"/>
      <c r="E44" s="307"/>
      <c r="F44" s="307"/>
      <c r="G44" s="307"/>
      <c r="H44" s="323">
        <f>D44*E44*F44*G44</f>
        <v>0</v>
      </c>
      <c r="I44" s="305"/>
      <c r="J44" s="305"/>
      <c r="K44" s="305"/>
      <c r="L44" s="305"/>
      <c r="M44" s="300"/>
      <c r="N44" s="305"/>
      <c r="O44" s="305"/>
      <c r="P44" s="305"/>
      <c r="Q44" s="305"/>
      <c r="R44" s="300"/>
      <c r="S44" s="321"/>
    </row>
    <row r="45" spans="1:19" ht="12.75" customHeight="1">
      <c r="A45" s="303"/>
      <c r="B45" s="304"/>
      <c r="C45" s="626" t="s">
        <v>583</v>
      </c>
      <c r="D45" s="627"/>
      <c r="E45" s="627"/>
      <c r="F45" s="627"/>
      <c r="G45" s="628"/>
      <c r="H45" s="325">
        <f>SUM(H43:H44)</f>
        <v>2341.5500000000002</v>
      </c>
      <c r="I45" s="305"/>
      <c r="J45" s="305"/>
      <c r="K45" s="305"/>
      <c r="L45" s="305"/>
      <c r="M45" s="300"/>
      <c r="N45" s="305"/>
      <c r="O45" s="305"/>
      <c r="P45" s="305"/>
      <c r="Q45" s="305"/>
      <c r="R45" s="300"/>
      <c r="S45" s="321"/>
    </row>
    <row r="46" spans="1:19" ht="22.5">
      <c r="A46" s="315" t="s">
        <v>131</v>
      </c>
      <c r="B46" s="302" t="str">
        <f>PLANILHA!D33</f>
        <v>LASTRO COM MATERIAL GRANULAR (AREIA MÉDIA), APLICADO EM PISOS OU LAJES SOBRE SOLO, ESPESSURA DE *10 CM*. AF_07/2019</v>
      </c>
      <c r="C46" s="301" t="str">
        <f>PLANILHA!E33</f>
        <v>M3</v>
      </c>
      <c r="D46" s="306"/>
      <c r="E46" s="306"/>
      <c r="F46" s="306"/>
      <c r="G46" s="306"/>
      <c r="H46" s="328"/>
      <c r="I46" s="305"/>
      <c r="J46" s="305"/>
      <c r="K46" s="305"/>
      <c r="L46" s="305"/>
      <c r="M46" s="300"/>
      <c r="N46" s="305"/>
      <c r="O46" s="305"/>
      <c r="P46" s="305"/>
      <c r="Q46" s="305"/>
      <c r="R46" s="300"/>
      <c r="S46" s="321"/>
    </row>
    <row r="47" spans="1:19" ht="12.75" customHeight="1">
      <c r="A47" s="303"/>
      <c r="B47" s="304" t="s">
        <v>604</v>
      </c>
      <c r="C47" s="367"/>
      <c r="D47" s="346">
        <f>D43</f>
        <v>2341.5500000000002</v>
      </c>
      <c r="E47" s="307">
        <v>1</v>
      </c>
      <c r="F47" s="307">
        <v>0.1</v>
      </c>
      <c r="G47" s="307">
        <v>1</v>
      </c>
      <c r="H47" s="323">
        <f>D47*E47*F47*G47</f>
        <v>234.15500000000003</v>
      </c>
      <c r="I47" s="305"/>
      <c r="J47" s="305"/>
      <c r="K47" s="305"/>
      <c r="L47" s="305"/>
      <c r="M47" s="300"/>
      <c r="N47" s="305"/>
      <c r="O47" s="305"/>
      <c r="P47" s="305"/>
      <c r="Q47" s="305"/>
      <c r="R47" s="300"/>
      <c r="S47" s="321"/>
    </row>
    <row r="48" spans="1:19" ht="12.75" customHeight="1">
      <c r="A48" s="303"/>
      <c r="B48" s="304"/>
      <c r="C48" s="367"/>
      <c r="D48" s="346">
        <f>D44</f>
        <v>0</v>
      </c>
      <c r="E48" s="307">
        <v>1</v>
      </c>
      <c r="F48" s="307">
        <v>0.1</v>
      </c>
      <c r="G48" s="307">
        <v>1</v>
      </c>
      <c r="H48" s="323">
        <f>D48*E48*F48*G48</f>
        <v>0</v>
      </c>
      <c r="I48" s="305"/>
      <c r="J48" s="305"/>
      <c r="K48" s="305"/>
      <c r="L48" s="305"/>
      <c r="M48" s="300"/>
      <c r="N48" s="305"/>
      <c r="O48" s="305"/>
      <c r="P48" s="305"/>
      <c r="Q48" s="305"/>
      <c r="R48" s="300"/>
      <c r="S48" s="321"/>
    </row>
    <row r="49" spans="1:19" ht="12.75" customHeight="1">
      <c r="A49" s="303"/>
      <c r="B49" s="304"/>
      <c r="C49" s="626" t="s">
        <v>583</v>
      </c>
      <c r="D49" s="627"/>
      <c r="E49" s="627"/>
      <c r="F49" s="627"/>
      <c r="G49" s="628"/>
      <c r="H49" s="325">
        <f>SUM(H47:H48)</f>
        <v>234.15500000000003</v>
      </c>
      <c r="I49" s="305"/>
      <c r="J49" s="305"/>
      <c r="K49" s="305"/>
      <c r="L49" s="305"/>
      <c r="M49" s="300"/>
      <c r="N49" s="305"/>
      <c r="O49" s="305"/>
      <c r="P49" s="305"/>
      <c r="Q49" s="305"/>
      <c r="R49" s="300"/>
      <c r="S49" s="321"/>
    </row>
    <row r="50" spans="1:19" ht="33.75">
      <c r="A50" s="315" t="s">
        <v>133</v>
      </c>
      <c r="B50" s="302" t="str">
        <f>PLANILHA!D34</f>
        <v>TUBO DE CONCRETO PARA REDES COLETORAS DE ÁGUAS PLUVIAIS, DIÂMETRO DE 1000 MM, JUNTA RÍGIDA, INSTALADO EM LOCAL COM ALTO NÍVEL DE INTERFERÊNCIAS - FORNECIMENTO E ASSENTAMENTO</v>
      </c>
      <c r="C50" s="301" t="s">
        <v>24</v>
      </c>
      <c r="D50" s="306">
        <v>88.4</v>
      </c>
      <c r="E50" s="306"/>
      <c r="F50" s="306"/>
      <c r="G50" s="306"/>
      <c r="H50" s="328"/>
      <c r="I50" s="305"/>
      <c r="J50" s="305"/>
      <c r="K50" s="305"/>
      <c r="L50" s="305"/>
      <c r="M50" s="300"/>
      <c r="N50" s="305"/>
      <c r="O50" s="305"/>
      <c r="P50" s="305"/>
      <c r="Q50" s="305"/>
      <c r="R50" s="300"/>
      <c r="S50" s="321"/>
    </row>
    <row r="51" spans="1:19" ht="33.75">
      <c r="A51" s="315" t="s">
        <v>135</v>
      </c>
      <c r="B51" s="302" t="str">
        <f>PLANILHA!D35</f>
        <v>TUBO DE CONCRETO PARA REDES COLETORAS DE ÁGUAS PLUVIAIS, DIÂMETRO DE 800 MM, JUNTA RÍGIDA, INSTALADO EM LOCAL COM ALTO NÍVEL DE INTERFERÊNCIAS - FORNECIMENTO E ASSENTAMENTO</v>
      </c>
      <c r="C51" s="301" t="s">
        <v>24</v>
      </c>
      <c r="D51" s="306">
        <v>1065.6400000000001</v>
      </c>
      <c r="E51" s="306"/>
      <c r="F51" s="306"/>
      <c r="G51" s="306"/>
      <c r="H51" s="328"/>
      <c r="I51" s="305"/>
      <c r="J51" s="305"/>
      <c r="K51" s="305"/>
      <c r="L51" s="305"/>
      <c r="M51" s="300"/>
      <c r="N51" s="305"/>
      <c r="O51" s="305"/>
      <c r="P51" s="305"/>
      <c r="Q51" s="305"/>
      <c r="R51" s="300"/>
      <c r="S51" s="321"/>
    </row>
    <row r="52" spans="1:19" ht="33.75">
      <c r="A52" s="315" t="s">
        <v>139</v>
      </c>
      <c r="B52" s="302" t="str">
        <f>PLANILHA!D36</f>
        <v>TUBO DE CONCRETO PARA REDES COLETORAS DE ÁGUAS PLUVIAIS, DIÂMETRO DE 400 MM, JUNTA RÍGIDA, INSTALADO EM LOCAL COM ALTO NÍVEL DE INTERFERÊNCIAS - FORNECIMENTO E ASSENTAMENTO</v>
      </c>
      <c r="C52" s="301" t="s">
        <v>24</v>
      </c>
      <c r="D52" s="306">
        <v>274.01</v>
      </c>
      <c r="E52" s="306"/>
      <c r="F52" s="306"/>
      <c r="G52" s="306"/>
      <c r="H52" s="328"/>
      <c r="I52" s="305"/>
      <c r="J52" s="305"/>
      <c r="K52" s="305"/>
      <c r="L52" s="305"/>
      <c r="M52" s="300"/>
      <c r="N52" s="305"/>
      <c r="O52" s="305"/>
      <c r="P52" s="305"/>
      <c r="Q52" s="305"/>
      <c r="R52" s="300"/>
      <c r="S52" s="321"/>
    </row>
    <row r="53" spans="1:19" ht="33.75">
      <c r="A53" s="315" t="s">
        <v>142</v>
      </c>
      <c r="B53" s="302" t="str">
        <f>PLANILHA!D37</f>
        <v>TRANSPORTE COM CAMINHÃO CARROCERIA COM GUINDAUTO (MUNCK), MOMENTO MÁXIMO DE CARGA 11,7 TM, EM VIA URBANA EM LEITO NATURAL (UNIDADE: TXKM). AF_07/2020</v>
      </c>
      <c r="C53" s="301" t="s">
        <v>605</v>
      </c>
      <c r="D53" s="306" t="s">
        <v>579</v>
      </c>
      <c r="E53" s="372" t="s">
        <v>606</v>
      </c>
      <c r="F53" s="306" t="s">
        <v>607</v>
      </c>
      <c r="G53" s="306"/>
      <c r="H53" s="328"/>
      <c r="I53" s="305"/>
      <c r="J53" s="305"/>
      <c r="K53" s="305"/>
      <c r="L53" s="305"/>
      <c r="M53" s="300"/>
      <c r="N53" s="305"/>
      <c r="O53" s="305"/>
      <c r="P53" s="305"/>
      <c r="Q53" s="305"/>
      <c r="R53" s="300"/>
      <c r="S53" s="321"/>
    </row>
    <row r="54" spans="1:19">
      <c r="A54" s="303"/>
      <c r="B54" s="304" t="s">
        <v>598</v>
      </c>
      <c r="C54" s="371" t="s">
        <v>24</v>
      </c>
      <c r="D54" s="346">
        <f>D50</f>
        <v>88.4</v>
      </c>
      <c r="E54" s="373">
        <v>0.84</v>
      </c>
      <c r="F54" s="374">
        <v>6</v>
      </c>
      <c r="G54" s="370"/>
      <c r="H54" s="323">
        <f>D54*E54*F54</f>
        <v>445.536</v>
      </c>
      <c r="I54" s="305"/>
      <c r="J54" s="305"/>
      <c r="K54" s="305"/>
      <c r="L54" s="305"/>
      <c r="M54" s="300"/>
      <c r="N54" s="305"/>
      <c r="O54" s="305"/>
      <c r="P54" s="305"/>
      <c r="Q54" s="305"/>
      <c r="R54" s="300"/>
      <c r="S54" s="321"/>
    </row>
    <row r="55" spans="1:19">
      <c r="A55" s="303"/>
      <c r="B55" s="304" t="s">
        <v>599</v>
      </c>
      <c r="C55" s="371" t="s">
        <v>24</v>
      </c>
      <c r="D55" s="346">
        <f>D51</f>
        <v>1065.6400000000001</v>
      </c>
      <c r="E55" s="373">
        <v>0.51</v>
      </c>
      <c r="F55" s="374">
        <v>6</v>
      </c>
      <c r="G55" s="370"/>
      <c r="H55" s="323">
        <f>D55*E55*F55</f>
        <v>3260.8584000000001</v>
      </c>
      <c r="I55" s="305"/>
      <c r="J55" s="305"/>
      <c r="K55" s="305"/>
      <c r="L55" s="305"/>
      <c r="M55" s="300"/>
      <c r="N55" s="305"/>
      <c r="O55" s="305"/>
      <c r="P55" s="305"/>
      <c r="Q55" s="305"/>
      <c r="R55" s="300"/>
      <c r="S55" s="321"/>
    </row>
    <row r="56" spans="1:19" ht="12.75" customHeight="1">
      <c r="A56" s="303"/>
      <c r="B56" s="304" t="s">
        <v>600</v>
      </c>
      <c r="C56" s="371" t="s">
        <v>24</v>
      </c>
      <c r="D56" s="346"/>
      <c r="E56" s="373">
        <v>0.3</v>
      </c>
      <c r="F56" s="374">
        <v>6</v>
      </c>
      <c r="G56" s="370"/>
      <c r="H56" s="323">
        <f>D56*E56*F56</f>
        <v>0</v>
      </c>
      <c r="I56" s="305"/>
      <c r="J56" s="305"/>
      <c r="K56" s="305"/>
      <c r="L56" s="305"/>
      <c r="M56" s="300"/>
      <c r="N56" s="305"/>
      <c r="O56" s="305"/>
      <c r="P56" s="305"/>
      <c r="Q56" s="305"/>
      <c r="R56" s="300"/>
      <c r="S56" s="321"/>
    </row>
    <row r="57" spans="1:19" ht="12.75" customHeight="1">
      <c r="A57" s="303"/>
      <c r="B57" s="304" t="s">
        <v>608</v>
      </c>
      <c r="C57" s="371" t="s">
        <v>24</v>
      </c>
      <c r="D57" s="346">
        <v>274.01</v>
      </c>
      <c r="E57" s="373">
        <v>0.15</v>
      </c>
      <c r="F57" s="374">
        <v>6</v>
      </c>
      <c r="G57" s="370"/>
      <c r="H57" s="323">
        <f>D57*E57*F57</f>
        <v>246.60899999999998</v>
      </c>
      <c r="I57" s="305"/>
      <c r="J57" s="305"/>
      <c r="K57" s="305"/>
      <c r="L57" s="305"/>
      <c r="M57" s="300"/>
      <c r="N57" s="305"/>
      <c r="O57" s="305"/>
      <c r="P57" s="305"/>
      <c r="Q57" s="305"/>
      <c r="R57" s="300"/>
      <c r="S57" s="321"/>
    </row>
    <row r="58" spans="1:19" ht="12.75" customHeight="1">
      <c r="A58" s="303"/>
      <c r="B58" s="304"/>
      <c r="C58" s="626" t="s">
        <v>583</v>
      </c>
      <c r="D58" s="627"/>
      <c r="E58" s="627"/>
      <c r="F58" s="627"/>
      <c r="G58" s="628"/>
      <c r="H58" s="325">
        <f>SUM(H54:H57)</f>
        <v>3953.0034000000001</v>
      </c>
      <c r="I58" s="305"/>
      <c r="J58" s="305"/>
      <c r="K58" s="305"/>
      <c r="L58" s="305"/>
      <c r="M58" s="300"/>
      <c r="N58" s="305"/>
      <c r="O58" s="305"/>
      <c r="P58" s="305"/>
      <c r="Q58" s="305"/>
      <c r="R58" s="300"/>
      <c r="S58" s="321"/>
    </row>
    <row r="59" spans="1:19" ht="45">
      <c r="A59" s="315" t="s">
        <v>144</v>
      </c>
      <c r="B59" s="302" t="str">
        <f>PLANILHA!D38</f>
        <v>REATERRO MECANIZADO DE VALA COM ESCAVADEIRA HIDRÁULICA (CAPACIDADE DA CAÇAMBA: 0,8 M³ / POTÊNCIA: 111 HP), LARGURA DE 1,5 A 2,5 M, PROFUNDIDADE DE 1,5 A 3,0 M, COM SOLO (SEM SUBSTITUIÇÃO) DE 1ª CATEGORIA EM LOCAIS COM BAIXO NÍVEL DE INTERFERÊNCIA. AF_04/2016</v>
      </c>
      <c r="C59" s="301" t="s">
        <v>31</v>
      </c>
      <c r="D59" s="306"/>
      <c r="E59" s="372"/>
      <c r="F59" s="372" t="s">
        <v>609</v>
      </c>
      <c r="G59" s="306" t="s">
        <v>339</v>
      </c>
      <c r="H59" s="328"/>
      <c r="I59" s="305"/>
      <c r="J59" s="305"/>
      <c r="K59" s="305"/>
      <c r="L59" s="305"/>
      <c r="M59" s="300"/>
      <c r="N59" s="305"/>
      <c r="O59" s="305"/>
      <c r="P59" s="305"/>
      <c r="Q59" s="305"/>
      <c r="R59" s="300"/>
      <c r="S59" s="321"/>
    </row>
    <row r="60" spans="1:19" ht="12.75" customHeight="1">
      <c r="A60" s="303"/>
      <c r="B60" s="304" t="s">
        <v>610</v>
      </c>
      <c r="C60" s="371" t="s">
        <v>31</v>
      </c>
      <c r="D60" s="346">
        <v>392.16</v>
      </c>
      <c r="E60" s="307">
        <v>1</v>
      </c>
      <c r="F60" s="307">
        <v>1</v>
      </c>
      <c r="G60" s="307">
        <v>1</v>
      </c>
      <c r="H60" s="323">
        <f>D60*E60*F60*G60</f>
        <v>392.16</v>
      </c>
      <c r="I60" s="305"/>
      <c r="J60" s="305"/>
      <c r="K60" s="305"/>
      <c r="L60" s="305"/>
      <c r="M60" s="300"/>
      <c r="N60" s="305"/>
      <c r="O60" s="305"/>
      <c r="P60" s="305"/>
      <c r="Q60" s="305"/>
      <c r="R60" s="300"/>
      <c r="S60" s="321"/>
    </row>
    <row r="61" spans="1:19" ht="12.75" customHeight="1">
      <c r="A61" s="303"/>
      <c r="B61" s="304" t="s">
        <v>611</v>
      </c>
      <c r="C61" s="371" t="s">
        <v>31</v>
      </c>
      <c r="D61" s="346">
        <v>4259.8</v>
      </c>
      <c r="E61" s="307">
        <v>1</v>
      </c>
      <c r="F61" s="307">
        <v>1</v>
      </c>
      <c r="G61" s="307">
        <v>1</v>
      </c>
      <c r="H61" s="323">
        <f>D61*E61*F61*G61</f>
        <v>4259.8</v>
      </c>
      <c r="I61" s="305"/>
      <c r="J61" s="305"/>
      <c r="K61" s="305"/>
      <c r="L61" s="305"/>
      <c r="M61" s="300"/>
      <c r="N61" s="305"/>
      <c r="O61" s="305"/>
      <c r="P61" s="305"/>
      <c r="Q61" s="305"/>
      <c r="R61" s="300"/>
      <c r="S61" s="321"/>
    </row>
    <row r="62" spans="1:19" ht="12.75" customHeight="1">
      <c r="A62" s="303"/>
      <c r="B62" s="304" t="s">
        <v>612</v>
      </c>
      <c r="C62" s="371" t="s">
        <v>31</v>
      </c>
      <c r="D62" s="346">
        <v>0</v>
      </c>
      <c r="E62" s="307">
        <v>1</v>
      </c>
      <c r="F62" s="307">
        <v>1</v>
      </c>
      <c r="G62" s="307">
        <v>1</v>
      </c>
      <c r="H62" s="323">
        <f>D62*E62*F62*G62</f>
        <v>0</v>
      </c>
      <c r="I62" s="305"/>
      <c r="J62" s="305"/>
      <c r="K62" s="305"/>
      <c r="L62" s="305"/>
      <c r="M62" s="300"/>
      <c r="N62" s="305"/>
      <c r="O62" s="305"/>
      <c r="P62" s="305"/>
      <c r="Q62" s="305"/>
      <c r="R62" s="300"/>
      <c r="S62" s="321"/>
    </row>
    <row r="63" spans="1:19" ht="12.75" customHeight="1">
      <c r="A63" s="303"/>
      <c r="B63" s="304" t="s">
        <v>613</v>
      </c>
      <c r="C63" s="371" t="s">
        <v>31</v>
      </c>
      <c r="D63" s="346">
        <v>280.06</v>
      </c>
      <c r="E63" s="307">
        <v>1</v>
      </c>
      <c r="F63" s="307">
        <v>1</v>
      </c>
      <c r="G63" s="307">
        <v>1</v>
      </c>
      <c r="H63" s="323">
        <f>D63*E63*F63*G63</f>
        <v>280.06</v>
      </c>
      <c r="I63" s="305"/>
      <c r="J63" s="305"/>
      <c r="K63" s="305"/>
      <c r="L63" s="305"/>
      <c r="M63" s="300"/>
      <c r="N63" s="305"/>
      <c r="O63" s="305"/>
      <c r="P63" s="305"/>
      <c r="Q63" s="305"/>
      <c r="R63" s="300"/>
      <c r="S63" s="321"/>
    </row>
    <row r="64" spans="1:19" ht="12.75" customHeight="1">
      <c r="A64" s="303"/>
      <c r="B64" s="304"/>
      <c r="C64" s="367"/>
      <c r="D64" s="370"/>
      <c r="E64" s="370"/>
      <c r="F64" s="370"/>
      <c r="G64" s="370"/>
      <c r="H64" s="323"/>
      <c r="I64" s="305"/>
      <c r="J64" s="305"/>
      <c r="K64" s="305"/>
      <c r="L64" s="305"/>
      <c r="M64" s="300"/>
      <c r="N64" s="305"/>
      <c r="O64" s="305"/>
      <c r="P64" s="305"/>
      <c r="Q64" s="305"/>
      <c r="R64" s="300"/>
      <c r="S64" s="321"/>
    </row>
    <row r="65" spans="1:19" ht="12.75" customHeight="1">
      <c r="A65" s="303"/>
      <c r="B65" s="304"/>
      <c r="C65" s="626" t="s">
        <v>583</v>
      </c>
      <c r="D65" s="627"/>
      <c r="E65" s="627"/>
      <c r="F65" s="627"/>
      <c r="G65" s="628"/>
      <c r="H65" s="325">
        <f>SUM(H60:H64)</f>
        <v>4932.0200000000004</v>
      </c>
      <c r="I65" s="305"/>
      <c r="J65" s="305"/>
      <c r="K65" s="305"/>
      <c r="L65" s="305"/>
      <c r="M65" s="300"/>
      <c r="N65" s="305"/>
      <c r="O65" s="305"/>
      <c r="P65" s="305"/>
      <c r="Q65" s="305"/>
      <c r="R65" s="300"/>
      <c r="S65" s="321"/>
    </row>
    <row r="66" spans="1:19" ht="33.75">
      <c r="A66" s="315" t="s">
        <v>146</v>
      </c>
      <c r="B66" s="302" t="str">
        <f>PLANILHA!D39</f>
        <v>BASE PARA POÇO DE VISITA RETANGULAR PARA DRENAGEM, EM ALVENARIA COM BLOCOS DE CONCRETO, DIMENSÕES INTERNAS = 1X2,5 M, PROFUNDIDADE = 1,45 M, EXCLUINDO TAMPÃO. AF_12/2020</v>
      </c>
      <c r="C66" s="301" t="s">
        <v>122</v>
      </c>
      <c r="D66" s="306"/>
      <c r="E66" s="306"/>
      <c r="F66" s="306"/>
      <c r="G66" s="306"/>
      <c r="H66" s="328"/>
      <c r="I66" s="305"/>
      <c r="J66" s="305"/>
      <c r="K66" s="305"/>
      <c r="L66" s="305"/>
      <c r="M66" s="300"/>
      <c r="N66" s="305"/>
      <c r="O66" s="305"/>
      <c r="P66" s="305"/>
      <c r="Q66" s="305"/>
      <c r="R66" s="300"/>
      <c r="S66" s="321"/>
    </row>
    <row r="67" spans="1:19" ht="12.75" customHeight="1">
      <c r="A67" s="303"/>
      <c r="B67" s="304" t="s">
        <v>470</v>
      </c>
      <c r="C67" s="371" t="s">
        <v>122</v>
      </c>
      <c r="D67" s="346">
        <v>23</v>
      </c>
      <c r="E67" s="307">
        <v>1</v>
      </c>
      <c r="F67" s="307">
        <v>1</v>
      </c>
      <c r="G67" s="307">
        <v>1</v>
      </c>
      <c r="H67" s="323">
        <f>D67*E67*F67*G67</f>
        <v>23</v>
      </c>
      <c r="I67" s="305"/>
      <c r="J67" s="305"/>
      <c r="K67" s="305"/>
      <c r="L67" s="305"/>
      <c r="M67" s="300"/>
      <c r="N67" s="305"/>
      <c r="O67" s="305"/>
      <c r="P67" s="305"/>
      <c r="Q67" s="305"/>
      <c r="R67" s="300"/>
      <c r="S67" s="321"/>
    </row>
    <row r="68" spans="1:19" ht="12.75" customHeight="1">
      <c r="A68" s="303"/>
      <c r="B68" s="304"/>
      <c r="C68" s="626" t="s">
        <v>583</v>
      </c>
      <c r="D68" s="627"/>
      <c r="E68" s="627"/>
      <c r="F68" s="627"/>
      <c r="G68" s="628"/>
      <c r="H68" s="325">
        <f>H67</f>
        <v>23</v>
      </c>
      <c r="I68" s="305"/>
      <c r="J68" s="305"/>
      <c r="K68" s="305"/>
      <c r="L68" s="305"/>
      <c r="M68" s="300"/>
      <c r="N68" s="305"/>
      <c r="O68" s="305"/>
      <c r="P68" s="305"/>
      <c r="Q68" s="305"/>
      <c r="R68" s="300"/>
      <c r="S68" s="321"/>
    </row>
    <row r="69" spans="1:19" ht="22.5">
      <c r="A69" s="315" t="s">
        <v>148</v>
      </c>
      <c r="B69" s="302" t="str">
        <f>PLANILHA!D40</f>
        <v>TAMPAO FOFO ARTICULADO, CLASSE D400 CARGA MAX 40 T, REDONDO, TAMPA 600 MM (COM INSCRICAO EM RELEVO DO TIPO DE REDE)</v>
      </c>
      <c r="C69" s="301" t="s">
        <v>122</v>
      </c>
      <c r="D69" s="306"/>
      <c r="E69" s="306"/>
      <c r="F69" s="306"/>
      <c r="G69" s="306"/>
      <c r="H69" s="328"/>
      <c r="I69" s="305"/>
      <c r="J69" s="305"/>
      <c r="K69" s="305"/>
      <c r="L69" s="305"/>
      <c r="M69" s="300"/>
      <c r="N69" s="305"/>
      <c r="O69" s="305"/>
      <c r="P69" s="305"/>
      <c r="Q69" s="305"/>
      <c r="R69" s="300"/>
      <c r="S69" s="321"/>
    </row>
    <row r="70" spans="1:19" ht="12.75" customHeight="1">
      <c r="A70" s="303"/>
      <c r="B70" s="304" t="s">
        <v>614</v>
      </c>
      <c r="C70" s="371" t="s">
        <v>122</v>
      </c>
      <c r="D70" s="346">
        <v>23</v>
      </c>
      <c r="E70" s="307">
        <v>1</v>
      </c>
      <c r="F70" s="307">
        <v>1</v>
      </c>
      <c r="G70" s="307">
        <v>1</v>
      </c>
      <c r="H70" s="323">
        <f>D70*E70*F70*G70</f>
        <v>23</v>
      </c>
      <c r="I70" s="305"/>
      <c r="J70" s="305"/>
      <c r="K70" s="305"/>
      <c r="L70" s="305"/>
      <c r="M70" s="300"/>
      <c r="N70" s="305"/>
      <c r="O70" s="305"/>
      <c r="P70" s="305"/>
      <c r="Q70" s="305"/>
      <c r="R70" s="300"/>
      <c r="S70" s="321"/>
    </row>
    <row r="71" spans="1:19" ht="12.75" customHeight="1">
      <c r="A71" s="303"/>
      <c r="B71" s="304"/>
      <c r="C71" s="626" t="s">
        <v>583</v>
      </c>
      <c r="D71" s="627"/>
      <c r="E71" s="627"/>
      <c r="F71" s="627"/>
      <c r="G71" s="628"/>
      <c r="H71" s="325">
        <f>H70</f>
        <v>23</v>
      </c>
      <c r="I71" s="305"/>
      <c r="J71" s="305"/>
      <c r="K71" s="305"/>
      <c r="L71" s="305"/>
      <c r="M71" s="300"/>
      <c r="N71" s="305"/>
      <c r="O71" s="305"/>
      <c r="P71" s="305"/>
      <c r="Q71" s="305"/>
      <c r="R71" s="300"/>
      <c r="S71" s="321"/>
    </row>
    <row r="72" spans="1:19" ht="22.5">
      <c r="A72" s="315" t="s">
        <v>150</v>
      </c>
      <c r="B72" s="302" t="str">
        <f>PLANILHA!D41</f>
        <v>CAIXA PARA BOCA DE LOBO SIMPLES RETANGULAR, EM ALVENARIA COM TIJOLOS CERÂMICOS MACIÇOS, DIMENSÕES INTERNAS: 0,6X1X1,2 M. AF_12/2020</v>
      </c>
      <c r="C72" s="301" t="s">
        <v>122</v>
      </c>
      <c r="D72" s="306"/>
      <c r="E72" s="306"/>
      <c r="F72" s="306"/>
      <c r="G72" s="306"/>
      <c r="H72" s="328"/>
      <c r="I72" s="305"/>
      <c r="J72" s="305"/>
      <c r="K72" s="305"/>
      <c r="L72" s="305"/>
      <c r="M72" s="300"/>
      <c r="N72" s="305"/>
      <c r="O72" s="305"/>
      <c r="P72" s="305"/>
      <c r="Q72" s="305"/>
      <c r="R72" s="300"/>
      <c r="S72" s="321"/>
    </row>
    <row r="73" spans="1:19" ht="12.75" customHeight="1">
      <c r="A73" s="303"/>
      <c r="B73" s="304" t="s">
        <v>615</v>
      </c>
      <c r="C73" s="371" t="s">
        <v>122</v>
      </c>
      <c r="D73" s="346">
        <v>44</v>
      </c>
      <c r="E73" s="307">
        <v>1</v>
      </c>
      <c r="F73" s="307">
        <v>1</v>
      </c>
      <c r="G73" s="307">
        <v>1</v>
      </c>
      <c r="H73" s="323">
        <f>D73*E73*F73*G73</f>
        <v>44</v>
      </c>
      <c r="I73" s="305"/>
      <c r="J73" s="305"/>
      <c r="K73" s="305"/>
      <c r="L73" s="305"/>
      <c r="M73" s="300"/>
      <c r="N73" s="305"/>
      <c r="O73" s="305"/>
      <c r="P73" s="305"/>
      <c r="Q73" s="305"/>
      <c r="R73" s="300"/>
      <c r="S73" s="321"/>
    </row>
    <row r="74" spans="1:19" ht="12.75" customHeight="1">
      <c r="A74" s="303"/>
      <c r="B74" s="304"/>
      <c r="C74" s="626" t="s">
        <v>583</v>
      </c>
      <c r="D74" s="627"/>
      <c r="E74" s="627"/>
      <c r="F74" s="627"/>
      <c r="G74" s="628"/>
      <c r="H74" s="325">
        <f>H73</f>
        <v>44</v>
      </c>
      <c r="I74" s="305"/>
      <c r="J74" s="305"/>
      <c r="K74" s="305"/>
      <c r="L74" s="305"/>
      <c r="M74" s="300"/>
      <c r="N74" s="305"/>
      <c r="O74" s="305"/>
      <c r="P74" s="305"/>
      <c r="Q74" s="305"/>
      <c r="R74" s="300"/>
      <c r="S74" s="321"/>
    </row>
    <row r="75" spans="1:19" ht="12.75" customHeight="1">
      <c r="A75" s="303"/>
      <c r="B75" s="304"/>
      <c r="C75" s="367"/>
      <c r="D75" s="368"/>
      <c r="E75" s="368"/>
      <c r="F75" s="368"/>
      <c r="G75" s="369"/>
      <c r="H75" s="325"/>
      <c r="I75" s="305"/>
      <c r="J75" s="305"/>
      <c r="K75" s="305"/>
      <c r="L75" s="305"/>
      <c r="M75" s="300"/>
      <c r="N75" s="305"/>
      <c r="O75" s="305"/>
      <c r="P75" s="305"/>
      <c r="Q75" s="305"/>
      <c r="R75" s="300"/>
      <c r="S75" s="321"/>
    </row>
    <row r="76" spans="1:19" ht="22.5">
      <c r="A76" s="315" t="s">
        <v>152</v>
      </c>
      <c r="B76" s="302" t="str">
        <f>PLANILHA!D42</f>
        <v>BOCA PARA BUEIRO SIMPLES TUBULAR D = 100 CM EM CONCRETO, ALAS COM ESCONSIDADE DE 0°, INCLUINDO FÔRMAS E MATERIAIS. AF_07/2021</v>
      </c>
      <c r="C76" s="301" t="s">
        <v>122</v>
      </c>
      <c r="D76" s="306"/>
      <c r="E76" s="306"/>
      <c r="F76" s="306"/>
      <c r="G76" s="306"/>
      <c r="H76" s="328"/>
      <c r="I76" s="305"/>
      <c r="J76" s="305"/>
      <c r="K76" s="305"/>
      <c r="L76" s="305"/>
      <c r="M76" s="300"/>
      <c r="N76" s="305"/>
      <c r="O76" s="305"/>
      <c r="P76" s="305"/>
      <c r="Q76" s="305"/>
      <c r="R76" s="300"/>
      <c r="S76" s="321"/>
    </row>
    <row r="77" spans="1:19" ht="12.75" customHeight="1">
      <c r="A77" s="303"/>
      <c r="B77" s="304" t="s">
        <v>616</v>
      </c>
      <c r="C77" s="371" t="s">
        <v>122</v>
      </c>
      <c r="D77" s="346">
        <v>0</v>
      </c>
      <c r="E77" s="307">
        <v>1</v>
      </c>
      <c r="F77" s="307">
        <v>1</v>
      </c>
      <c r="G77" s="307">
        <v>1</v>
      </c>
      <c r="H77" s="323">
        <f>D77*E77*F77*G77</f>
        <v>0</v>
      </c>
      <c r="I77" s="305"/>
      <c r="J77" s="305"/>
      <c r="K77" s="305"/>
      <c r="L77" s="305"/>
      <c r="M77" s="300"/>
      <c r="N77" s="305"/>
      <c r="O77" s="305"/>
      <c r="P77" s="305"/>
      <c r="Q77" s="305"/>
      <c r="R77" s="300"/>
      <c r="S77" s="321"/>
    </row>
    <row r="78" spans="1:19" ht="12.75" customHeight="1">
      <c r="A78" s="303"/>
      <c r="B78" s="304"/>
      <c r="C78" s="626" t="s">
        <v>583</v>
      </c>
      <c r="D78" s="627"/>
      <c r="E78" s="627"/>
      <c r="F78" s="627"/>
      <c r="G78" s="628"/>
      <c r="H78" s="325">
        <f>H77</f>
        <v>0</v>
      </c>
      <c r="I78" s="305"/>
      <c r="J78" s="305"/>
      <c r="K78" s="305"/>
      <c r="L78" s="305"/>
      <c r="M78" s="300"/>
      <c r="N78" s="305"/>
      <c r="O78" s="305"/>
      <c r="P78" s="305"/>
      <c r="Q78" s="305"/>
      <c r="R78" s="300"/>
      <c r="S78" s="321"/>
    </row>
    <row r="79" spans="1:19" ht="22.5">
      <c r="A79" s="315" t="s">
        <v>617</v>
      </c>
      <c r="B79" s="302" t="str">
        <f>PLANILHA!D42</f>
        <v>BOCA PARA BUEIRO SIMPLES TUBULAR D = 100 CM EM CONCRETO, ALAS COM ESCONSIDADE DE 0°, INCLUINDO FÔRMAS E MATERIAIS. AF_07/2021</v>
      </c>
      <c r="C79" s="301" t="s">
        <v>122</v>
      </c>
      <c r="D79" s="306"/>
      <c r="E79" s="306"/>
      <c r="F79" s="306"/>
      <c r="G79" s="306"/>
      <c r="H79" s="328"/>
      <c r="I79" s="305"/>
      <c r="J79" s="305"/>
      <c r="K79" s="305"/>
      <c r="L79" s="305"/>
      <c r="M79" s="300"/>
      <c r="N79" s="305"/>
      <c r="O79" s="305"/>
      <c r="P79" s="305"/>
      <c r="Q79" s="305"/>
      <c r="R79" s="300"/>
      <c r="S79" s="321"/>
    </row>
    <row r="80" spans="1:19" ht="12.75" customHeight="1">
      <c r="A80" s="303"/>
      <c r="B80" s="304" t="s">
        <v>618</v>
      </c>
      <c r="C80" s="371" t="s">
        <v>122</v>
      </c>
      <c r="D80" s="346">
        <v>5</v>
      </c>
      <c r="E80" s="307">
        <v>1</v>
      </c>
      <c r="F80" s="307">
        <v>1</v>
      </c>
      <c r="G80" s="307">
        <v>1</v>
      </c>
      <c r="H80" s="323">
        <f>D80*E80*F80*G80</f>
        <v>5</v>
      </c>
      <c r="I80" s="305"/>
      <c r="J80" s="305"/>
      <c r="K80" s="305"/>
      <c r="L80" s="305"/>
      <c r="M80" s="300"/>
      <c r="N80" s="305"/>
      <c r="O80" s="305"/>
      <c r="P80" s="305"/>
      <c r="Q80" s="305"/>
      <c r="R80" s="300"/>
      <c r="S80" s="321"/>
    </row>
    <row r="81" spans="1:19" ht="12.75" customHeight="1">
      <c r="A81" s="303"/>
      <c r="B81" s="304"/>
      <c r="C81" s="626" t="s">
        <v>583</v>
      </c>
      <c r="D81" s="627"/>
      <c r="E81" s="627"/>
      <c r="F81" s="627"/>
      <c r="G81" s="628"/>
      <c r="H81" s="325">
        <f>H80</f>
        <v>5</v>
      </c>
      <c r="I81" s="305"/>
      <c r="J81" s="305"/>
      <c r="K81" s="305"/>
      <c r="L81" s="305"/>
      <c r="M81" s="300"/>
      <c r="N81" s="305"/>
      <c r="O81" s="305"/>
      <c r="P81" s="305"/>
      <c r="Q81" s="305"/>
      <c r="R81" s="300"/>
      <c r="S81" s="321"/>
    </row>
    <row r="82" spans="1:19" ht="12.75" customHeight="1">
      <c r="A82" s="315" t="s">
        <v>619</v>
      </c>
      <c r="B82" s="302" t="str">
        <f>PLANILHA!D43</f>
        <v>Dissipador de energia - DEB 05 - areia e pedra de mão comerciais</v>
      </c>
      <c r="C82" s="301" t="s">
        <v>122</v>
      </c>
      <c r="D82" s="306"/>
      <c r="E82" s="306"/>
      <c r="F82" s="306"/>
      <c r="G82" s="306"/>
      <c r="H82" s="328"/>
      <c r="I82" s="305"/>
      <c r="J82" s="305"/>
      <c r="K82" s="305"/>
      <c r="L82" s="305"/>
      <c r="M82" s="300"/>
      <c r="N82" s="305"/>
      <c r="O82" s="305"/>
      <c r="P82" s="305"/>
      <c r="Q82" s="305"/>
      <c r="R82" s="300"/>
      <c r="S82" s="321"/>
    </row>
    <row r="83" spans="1:19" ht="12.75" customHeight="1">
      <c r="A83" s="303"/>
      <c r="B83" s="304" t="s">
        <v>154</v>
      </c>
      <c r="C83" s="371" t="s">
        <v>122</v>
      </c>
      <c r="D83" s="346">
        <v>5</v>
      </c>
      <c r="E83" s="307">
        <v>1</v>
      </c>
      <c r="F83" s="307">
        <v>1</v>
      </c>
      <c r="G83" s="307">
        <v>1</v>
      </c>
      <c r="H83" s="323">
        <f>D83*E83*F83*G83</f>
        <v>5</v>
      </c>
      <c r="I83" s="305"/>
      <c r="J83" s="305"/>
      <c r="K83" s="305"/>
      <c r="L83" s="305"/>
      <c r="M83" s="300"/>
      <c r="N83" s="305"/>
      <c r="O83" s="305"/>
      <c r="P83" s="305"/>
      <c r="Q83" s="305"/>
      <c r="R83" s="300"/>
      <c r="S83" s="321"/>
    </row>
    <row r="84" spans="1:19" ht="12.75" customHeight="1">
      <c r="A84" s="303"/>
      <c r="B84" s="304"/>
      <c r="C84" s="626" t="s">
        <v>583</v>
      </c>
      <c r="D84" s="627"/>
      <c r="E84" s="627"/>
      <c r="F84" s="627"/>
      <c r="G84" s="628"/>
      <c r="H84" s="325">
        <f>H83</f>
        <v>5</v>
      </c>
      <c r="I84" s="305"/>
      <c r="J84" s="305"/>
      <c r="K84" s="305"/>
      <c r="L84" s="305"/>
      <c r="M84" s="300"/>
      <c r="N84" s="305"/>
      <c r="O84" s="305"/>
      <c r="P84" s="305"/>
      <c r="Q84" s="305"/>
      <c r="R84" s="300"/>
      <c r="S84" s="321"/>
    </row>
    <row r="85" spans="1:19">
      <c r="A85" s="398">
        <v>5</v>
      </c>
      <c r="B85" s="399" t="str">
        <f>PLANILHA!D45</f>
        <v>TERRAPLENAGEM</v>
      </c>
      <c r="C85" s="400"/>
      <c r="D85" s="401"/>
      <c r="E85" s="401"/>
      <c r="F85" s="401"/>
      <c r="G85" s="401"/>
      <c r="H85" s="402"/>
      <c r="I85" s="305"/>
      <c r="J85" s="305"/>
      <c r="K85" s="305"/>
      <c r="L85" s="305"/>
      <c r="M85" s="300"/>
      <c r="N85" s="305"/>
      <c r="O85" s="305"/>
      <c r="P85" s="305"/>
      <c r="Q85" s="305"/>
      <c r="R85" s="300"/>
      <c r="S85" s="321"/>
    </row>
    <row r="86" spans="1:19">
      <c r="A86" s="408" t="s">
        <v>157</v>
      </c>
      <c r="B86" s="409" t="str">
        <f>PLANILHA!D46</f>
        <v>SERVIÇOS TOPOGRAFICOS</v>
      </c>
      <c r="C86" s="408" t="s">
        <v>24</v>
      </c>
      <c r="D86" s="410"/>
      <c r="E86" s="410"/>
      <c r="F86" s="410"/>
      <c r="G86" s="410"/>
      <c r="H86" s="411"/>
      <c r="I86" s="327"/>
      <c r="J86" s="306"/>
      <c r="K86" s="306"/>
      <c r="L86" s="306"/>
      <c r="M86" s="316"/>
      <c r="N86" s="306"/>
      <c r="O86" s="306"/>
      <c r="P86" s="306"/>
      <c r="Q86" s="306"/>
      <c r="R86" s="316"/>
      <c r="S86" s="321"/>
    </row>
    <row r="87" spans="1:19">
      <c r="A87" s="303" t="s">
        <v>159</v>
      </c>
      <c r="B87" s="304" t="s">
        <v>620</v>
      </c>
      <c r="C87" s="303"/>
      <c r="D87" s="307">
        <v>1</v>
      </c>
      <c r="E87" s="307">
        <v>10254.939999999999</v>
      </c>
      <c r="F87" s="307">
        <v>1</v>
      </c>
      <c r="G87" s="307">
        <v>1</v>
      </c>
      <c r="H87" s="323">
        <f>D87*E87*F87*G87</f>
        <v>10254.939999999999</v>
      </c>
      <c r="I87" s="326"/>
      <c r="J87" s="307"/>
      <c r="K87" s="307"/>
      <c r="L87" s="307"/>
      <c r="M87" s="317">
        <f>I87*J87*K87*L87</f>
        <v>0</v>
      </c>
      <c r="N87" s="307"/>
      <c r="O87" s="307"/>
      <c r="P87" s="307"/>
      <c r="Q87" s="307"/>
      <c r="R87" s="317">
        <f>N87*O87*P87*Q87</f>
        <v>0</v>
      </c>
      <c r="S87" s="321"/>
    </row>
    <row r="88" spans="1:19">
      <c r="A88" s="303"/>
      <c r="B88" s="313"/>
      <c r="C88" s="303"/>
      <c r="D88" s="307"/>
      <c r="E88" s="307"/>
      <c r="F88" s="307"/>
      <c r="G88" s="307"/>
      <c r="H88" s="323"/>
      <c r="I88" s="326"/>
      <c r="J88" s="307"/>
      <c r="K88" s="307"/>
      <c r="L88" s="307"/>
      <c r="M88" s="317">
        <f>I88*J88*K88*L88</f>
        <v>0</v>
      </c>
      <c r="N88" s="307"/>
      <c r="O88" s="307"/>
      <c r="P88" s="307"/>
      <c r="Q88" s="307"/>
      <c r="R88" s="323"/>
      <c r="S88" s="321"/>
    </row>
    <row r="89" spans="1:19" ht="12.75" customHeight="1">
      <c r="A89" s="303"/>
      <c r="B89" s="310"/>
      <c r="C89" s="626" t="s">
        <v>583</v>
      </c>
      <c r="D89" s="627"/>
      <c r="E89" s="627"/>
      <c r="F89" s="627"/>
      <c r="G89" s="628"/>
      <c r="H89" s="325">
        <f>SUM(H87)</f>
        <v>10254.939999999999</v>
      </c>
      <c r="I89" s="627"/>
      <c r="J89" s="627"/>
      <c r="K89" s="627"/>
      <c r="L89" s="628"/>
      <c r="M89" s="318">
        <f>SUM(M87:M88)</f>
        <v>0</v>
      </c>
      <c r="N89" s="627"/>
      <c r="O89" s="627"/>
      <c r="P89" s="627"/>
      <c r="Q89" s="628"/>
      <c r="R89" s="318">
        <f>SUM(R87:R87)</f>
        <v>0</v>
      </c>
      <c r="S89" s="321">
        <f>SUM(H89,M89,R89)</f>
        <v>10254.939999999999</v>
      </c>
    </row>
    <row r="90" spans="1:19">
      <c r="A90" s="403" t="s">
        <v>162</v>
      </c>
      <c r="B90" s="404" t="str">
        <f>PLANILHA!D49</f>
        <v>REGULARIZAÇÃO DO SUB-LEITO</v>
      </c>
      <c r="C90" s="405"/>
      <c r="D90" s="406"/>
      <c r="E90" s="406"/>
      <c r="F90" s="406"/>
      <c r="G90" s="406"/>
      <c r="H90" s="407"/>
      <c r="I90" s="305"/>
      <c r="J90" s="305"/>
      <c r="K90" s="305"/>
      <c r="L90" s="305"/>
      <c r="M90" s="300"/>
      <c r="N90" s="305"/>
      <c r="O90" s="305"/>
      <c r="P90" s="305"/>
      <c r="Q90" s="305"/>
      <c r="R90" s="300"/>
      <c r="S90" s="91"/>
    </row>
    <row r="91" spans="1:19" ht="33.75">
      <c r="A91" s="301" t="s">
        <v>164</v>
      </c>
      <c r="B91" s="302" t="str">
        <f>PLANILHA!D50</f>
        <v>LIMPEZA MECANIZADA DE CAMADA VEGETAL, VEGETAÇÃO E PEQUENAS ÁRVORES (DIÂMETRO DE TRONCO MENOR QUE 0,20 M), COM TRATOR DE ESTEIRAS.AF_05/2018</v>
      </c>
      <c r="C91" s="301" t="s">
        <v>32</v>
      </c>
      <c r="D91" s="306"/>
      <c r="E91" s="306"/>
      <c r="F91" s="306"/>
      <c r="G91" s="306"/>
      <c r="H91" s="328"/>
      <c r="I91" s="327"/>
      <c r="J91" s="306"/>
      <c r="K91" s="306"/>
      <c r="L91" s="306"/>
      <c r="M91" s="316"/>
      <c r="N91" s="306"/>
      <c r="O91" s="306"/>
      <c r="P91" s="306"/>
      <c r="Q91" s="306"/>
      <c r="R91" s="316"/>
      <c r="S91" s="91"/>
    </row>
    <row r="92" spans="1:19">
      <c r="A92" s="303"/>
      <c r="B92" s="304" t="s">
        <v>621</v>
      </c>
      <c r="C92" s="303"/>
      <c r="D92" s="307">
        <v>1</v>
      </c>
      <c r="E92" s="307">
        <v>2869.3</v>
      </c>
      <c r="F92" s="307">
        <f>4511.67/0.2/E92</f>
        <v>7.8619698184226108</v>
      </c>
      <c r="G92" s="307">
        <v>1</v>
      </c>
      <c r="H92" s="323">
        <f>D92*E92*F92*G92</f>
        <v>22558.35</v>
      </c>
      <c r="I92" s="326">
        <v>1</v>
      </c>
      <c r="J92" s="307"/>
      <c r="K92" s="307"/>
      <c r="L92" s="307">
        <v>1</v>
      </c>
      <c r="M92" s="317">
        <f>I92*J92*K92*L92</f>
        <v>0</v>
      </c>
      <c r="N92" s="307">
        <v>1</v>
      </c>
      <c r="O92" s="307"/>
      <c r="P92" s="307"/>
      <c r="Q92" s="307">
        <v>1</v>
      </c>
      <c r="R92" s="317">
        <f>N92*O92*P92*Q92</f>
        <v>0</v>
      </c>
      <c r="S92" s="91"/>
    </row>
    <row r="93" spans="1:19">
      <c r="A93" s="303"/>
      <c r="B93" s="304" t="s">
        <v>622</v>
      </c>
      <c r="C93" s="303"/>
      <c r="D93" s="307">
        <v>1</v>
      </c>
      <c r="E93" s="307">
        <f>(F109+F119)/3</f>
        <v>2700.48</v>
      </c>
      <c r="F93" s="307">
        <v>1</v>
      </c>
      <c r="G93" s="307">
        <v>1</v>
      </c>
      <c r="H93" s="323">
        <f>D93*E93*F93*G93</f>
        <v>2700.48</v>
      </c>
      <c r="I93" s="326"/>
      <c r="J93" s="307"/>
      <c r="K93" s="307"/>
      <c r="L93" s="307"/>
      <c r="M93" s="317">
        <f>I93*J93*K93*L93</f>
        <v>0</v>
      </c>
      <c r="N93" s="307"/>
      <c r="O93" s="307"/>
      <c r="P93" s="307"/>
      <c r="Q93" s="307"/>
      <c r="R93" s="317">
        <f>N93*O93*P93*Q93</f>
        <v>0</v>
      </c>
      <c r="S93" s="91"/>
    </row>
    <row r="94" spans="1:19">
      <c r="A94" s="303"/>
      <c r="B94" s="310"/>
      <c r="C94" s="626" t="s">
        <v>583</v>
      </c>
      <c r="D94" s="627"/>
      <c r="E94" s="627"/>
      <c r="F94" s="627"/>
      <c r="G94" s="628"/>
      <c r="H94" s="325">
        <f>SUM(H92:H93)</f>
        <v>25258.829999999998</v>
      </c>
      <c r="I94" s="627"/>
      <c r="J94" s="627"/>
      <c r="K94" s="627"/>
      <c r="L94" s="628"/>
      <c r="M94" s="318">
        <f>SUM(M92:M93)</f>
        <v>0</v>
      </c>
      <c r="N94" s="627"/>
      <c r="O94" s="627"/>
      <c r="P94" s="627"/>
      <c r="Q94" s="628"/>
      <c r="R94" s="318">
        <f>SUM(R92)</f>
        <v>0</v>
      </c>
      <c r="S94" s="321">
        <f>SUM(H94,M94,R94)</f>
        <v>25258.829999999998</v>
      </c>
    </row>
    <row r="95" spans="1:19" ht="22.5">
      <c r="A95" s="301" t="s">
        <v>166</v>
      </c>
      <c r="B95" s="302" t="str">
        <f>PLANILHA!D51</f>
        <v>ESCAVAÇÃO HORIZONTAL, INCLUINDO CARGA E DESCARGA EM SOLO DE 1A CATEGORIA COM TRATOR DE ESTEIRAS (170HP/LÂMINA: 5,20M3). AF_07/2020</v>
      </c>
      <c r="C95" s="301" t="s">
        <v>336</v>
      </c>
      <c r="D95" s="306"/>
      <c r="E95" s="306"/>
      <c r="F95" s="306"/>
      <c r="G95" s="306"/>
      <c r="H95" s="328"/>
      <c r="I95" s="327"/>
      <c r="J95" s="306"/>
      <c r="K95" s="306"/>
      <c r="L95" s="306"/>
      <c r="M95" s="316"/>
      <c r="N95" s="306"/>
      <c r="O95" s="306"/>
      <c r="P95" s="306"/>
      <c r="Q95" s="306"/>
      <c r="R95" s="316"/>
      <c r="S95" s="91"/>
    </row>
    <row r="96" spans="1:19">
      <c r="A96" s="303"/>
      <c r="B96" s="313" t="s">
        <v>623</v>
      </c>
      <c r="C96" s="303"/>
      <c r="D96" s="307">
        <v>10517.53</v>
      </c>
      <c r="E96" s="307">
        <v>1</v>
      </c>
      <c r="F96" s="307">
        <v>1</v>
      </c>
      <c r="G96" s="307">
        <v>1</v>
      </c>
      <c r="H96" s="323">
        <f>D96*E96*F96*G96</f>
        <v>10517.53</v>
      </c>
      <c r="I96" s="326">
        <v>1</v>
      </c>
      <c r="J96" s="307">
        <v>22</v>
      </c>
      <c r="K96" s="307">
        <v>830.19</v>
      </c>
      <c r="L96" s="307">
        <v>0.2</v>
      </c>
      <c r="M96" s="317">
        <f>I96*J96*K96*L96</f>
        <v>3652.8360000000002</v>
      </c>
      <c r="N96" s="307">
        <v>1</v>
      </c>
      <c r="O96" s="307">
        <v>14</v>
      </c>
      <c r="P96" s="307">
        <v>200</v>
      </c>
      <c r="Q96" s="307">
        <v>0.2</v>
      </c>
      <c r="R96" s="317">
        <f>N96*O96*P96*Q96</f>
        <v>560</v>
      </c>
      <c r="S96" s="91"/>
    </row>
    <row r="97" spans="1:19">
      <c r="A97" s="303"/>
      <c r="B97" s="313" t="s">
        <v>624</v>
      </c>
      <c r="C97" s="314"/>
      <c r="D97" s="307">
        <v>1</v>
      </c>
      <c r="E97" s="307"/>
      <c r="F97" s="307"/>
      <c r="G97" s="307"/>
      <c r="H97" s="323">
        <f>D97*E97*F97*G97</f>
        <v>0</v>
      </c>
      <c r="I97" s="326"/>
      <c r="J97" s="307"/>
      <c r="K97" s="307"/>
      <c r="L97" s="307"/>
      <c r="M97" s="317">
        <f>I97*J97*K97*L97</f>
        <v>0</v>
      </c>
      <c r="N97" s="307"/>
      <c r="O97" s="307"/>
      <c r="P97" s="307"/>
      <c r="Q97" s="307"/>
      <c r="R97" s="317">
        <f>N97*O97*P97*Q97</f>
        <v>0</v>
      </c>
      <c r="S97" s="91"/>
    </row>
    <row r="98" spans="1:19">
      <c r="A98" s="303"/>
      <c r="B98" s="310"/>
      <c r="C98" s="626" t="s">
        <v>583</v>
      </c>
      <c r="D98" s="627"/>
      <c r="E98" s="627"/>
      <c r="F98" s="627"/>
      <c r="G98" s="628"/>
      <c r="H98" s="325">
        <f>SUM(H96:H97)</f>
        <v>10517.53</v>
      </c>
      <c r="I98" s="627"/>
      <c r="J98" s="627"/>
      <c r="K98" s="627"/>
      <c r="L98" s="628"/>
      <c r="M98" s="318">
        <f>SUM(M96:M97)</f>
        <v>3652.8360000000002</v>
      </c>
      <c r="N98" s="627"/>
      <c r="O98" s="627"/>
      <c r="P98" s="627"/>
      <c r="Q98" s="628"/>
      <c r="R98" s="318">
        <f>SUM(R96:R97)</f>
        <v>560</v>
      </c>
      <c r="S98" s="321">
        <f>SUM(H98,M98,R98)</f>
        <v>14730.366000000002</v>
      </c>
    </row>
    <row r="99" spans="1:19" ht="22.5">
      <c r="A99" s="301" t="s">
        <v>168</v>
      </c>
      <c r="B99" s="302" t="str">
        <f>PLANILHA!D52</f>
        <v>TRANSPORTE COM CAMINHÃO BASCULANTE DE 10 M³, EM VIA URBANA PAVIMENTADA, DMT ATÉ 30 KM (UNIDADE: M3XKM). AF_07/2020</v>
      </c>
      <c r="C99" s="301" t="s">
        <v>625</v>
      </c>
      <c r="D99" s="306"/>
      <c r="E99" s="306"/>
      <c r="F99" s="306"/>
      <c r="G99" s="306"/>
      <c r="H99" s="328"/>
      <c r="I99" s="327"/>
      <c r="J99" s="306"/>
      <c r="K99" s="306"/>
      <c r="L99" s="306"/>
      <c r="M99" s="316"/>
      <c r="N99" s="306"/>
      <c r="O99" s="306"/>
      <c r="P99" s="306"/>
      <c r="Q99" s="306"/>
      <c r="R99" s="316"/>
      <c r="S99" s="91"/>
    </row>
    <row r="100" spans="1:19">
      <c r="A100" s="303"/>
      <c r="B100" s="304" t="s">
        <v>626</v>
      </c>
      <c r="C100" s="303"/>
      <c r="D100" s="307">
        <v>8</v>
      </c>
      <c r="E100" s="307">
        <v>1</v>
      </c>
      <c r="F100" s="307">
        <f>H98</f>
        <v>10517.53</v>
      </c>
      <c r="G100" s="307">
        <v>1.25</v>
      </c>
      <c r="H100" s="323">
        <f>D100*E100*F100*G100</f>
        <v>105175.3</v>
      </c>
      <c r="I100" s="326">
        <v>1</v>
      </c>
      <c r="J100" s="307">
        <v>22</v>
      </c>
      <c r="K100" s="307">
        <v>830.19</v>
      </c>
      <c r="L100" s="307">
        <v>1</v>
      </c>
      <c r="M100" s="317">
        <f>I100*J100*K100*L100</f>
        <v>18264.18</v>
      </c>
      <c r="N100" s="307">
        <v>1</v>
      </c>
      <c r="O100" s="307">
        <v>14</v>
      </c>
      <c r="P100" s="307">
        <v>200</v>
      </c>
      <c r="Q100" s="307">
        <v>1</v>
      </c>
      <c r="R100" s="317">
        <f>N100*O100*P100*Q100</f>
        <v>2800</v>
      </c>
      <c r="S100" s="91"/>
    </row>
    <row r="101" spans="1:19">
      <c r="A101" s="303"/>
      <c r="B101" s="304"/>
      <c r="C101" s="303"/>
      <c r="D101" s="307"/>
      <c r="E101" s="307"/>
      <c r="F101" s="307"/>
      <c r="G101" s="307"/>
      <c r="H101" s="323">
        <f>D101*E101*F101*G101</f>
        <v>0</v>
      </c>
      <c r="I101" s="326"/>
      <c r="J101" s="307"/>
      <c r="K101" s="307"/>
      <c r="L101" s="307"/>
      <c r="M101" s="317">
        <f>I101*J101*K101*L101</f>
        <v>0</v>
      </c>
      <c r="N101" s="307"/>
      <c r="O101" s="307"/>
      <c r="P101" s="307"/>
      <c r="Q101" s="307"/>
      <c r="R101" s="323"/>
      <c r="S101" s="91"/>
    </row>
    <row r="102" spans="1:19">
      <c r="A102" s="303"/>
      <c r="B102" s="310"/>
      <c r="C102" s="626" t="s">
        <v>583</v>
      </c>
      <c r="D102" s="627"/>
      <c r="E102" s="627"/>
      <c r="F102" s="627"/>
      <c r="G102" s="628"/>
      <c r="H102" s="325">
        <f>SUM(H100)</f>
        <v>105175.3</v>
      </c>
      <c r="I102" s="627"/>
      <c r="J102" s="627"/>
      <c r="K102" s="627"/>
      <c r="L102" s="628"/>
      <c r="M102" s="318">
        <f>SUM(M100:M101)</f>
        <v>18264.18</v>
      </c>
      <c r="N102" s="627"/>
      <c r="O102" s="627"/>
      <c r="P102" s="627"/>
      <c r="Q102" s="628"/>
      <c r="R102" s="318">
        <f>SUM(R100)</f>
        <v>2800</v>
      </c>
      <c r="S102" s="321">
        <f>SUM(H102,M102,R102)</f>
        <v>126239.48000000001</v>
      </c>
    </row>
    <row r="103" spans="1:19" ht="22.5">
      <c r="A103" s="301" t="s">
        <v>169</v>
      </c>
      <c r="B103" s="302" t="str">
        <f>PLANILHA!D53</f>
        <v>REGULARIZAÇÃO E COMPACTAÇÃO DE SUBLEITO DE SOLO  PREDOMINANTEMENTE ARGILOSO. AF_11/2019</v>
      </c>
      <c r="C103" s="301" t="s">
        <v>32</v>
      </c>
      <c r="D103" s="306"/>
      <c r="E103" s="306"/>
      <c r="F103" s="306"/>
      <c r="G103" s="306"/>
      <c r="H103" s="328"/>
      <c r="I103" s="327"/>
      <c r="J103" s="306"/>
      <c r="K103" s="306"/>
      <c r="L103" s="306"/>
      <c r="M103" s="316"/>
      <c r="N103" s="306"/>
      <c r="O103" s="306"/>
      <c r="P103" s="306"/>
      <c r="Q103" s="306"/>
      <c r="R103" s="316"/>
      <c r="S103" s="91"/>
    </row>
    <row r="104" spans="1:19">
      <c r="A104" s="303"/>
      <c r="B104" s="304" t="s">
        <v>627</v>
      </c>
      <c r="C104" s="303"/>
      <c r="D104" s="307">
        <v>1</v>
      </c>
      <c r="E104" s="307">
        <v>2869.3</v>
      </c>
      <c r="F104" s="307">
        <f>4511.67/0.2/E104</f>
        <v>7.8619698184226108</v>
      </c>
      <c r="G104" s="307">
        <v>1</v>
      </c>
      <c r="H104" s="323">
        <f>D104*E104*F104*G104</f>
        <v>22558.35</v>
      </c>
      <c r="I104" s="326">
        <v>17.899999999999999</v>
      </c>
      <c r="J104" s="307">
        <v>22</v>
      </c>
      <c r="K104" s="307">
        <v>830.19</v>
      </c>
      <c r="L104" s="307">
        <v>0.2</v>
      </c>
      <c r="M104" s="317">
        <f>I104*J104*K104*L104</f>
        <v>65385.7644</v>
      </c>
      <c r="N104" s="307">
        <v>17.899999999999999</v>
      </c>
      <c r="O104" s="307">
        <v>14</v>
      </c>
      <c r="P104" s="307">
        <v>200</v>
      </c>
      <c r="Q104" s="307">
        <v>0.2</v>
      </c>
      <c r="R104" s="317">
        <f>N104*O104*P104*Q104</f>
        <v>10024</v>
      </c>
      <c r="S104" s="91"/>
    </row>
    <row r="105" spans="1:19">
      <c r="A105" s="303"/>
      <c r="B105" s="304"/>
      <c r="C105" s="303"/>
      <c r="D105" s="307"/>
      <c r="E105" s="307"/>
      <c r="F105" s="307"/>
      <c r="G105" s="307"/>
      <c r="H105" s="323">
        <f>D105*E105*F105*G105</f>
        <v>0</v>
      </c>
      <c r="I105" s="326"/>
      <c r="J105" s="307"/>
      <c r="K105" s="307"/>
      <c r="L105" s="307"/>
      <c r="M105" s="317">
        <f>I105*J105*K105*L105</f>
        <v>0</v>
      </c>
      <c r="N105" s="307"/>
      <c r="O105" s="307"/>
      <c r="P105" s="307"/>
      <c r="Q105" s="307"/>
      <c r="R105" s="317">
        <f>N105*O105*P105*Q105</f>
        <v>0</v>
      </c>
      <c r="S105" s="91"/>
    </row>
    <row r="106" spans="1:19">
      <c r="A106" s="303"/>
      <c r="B106" s="310"/>
      <c r="C106" s="626" t="s">
        <v>583</v>
      </c>
      <c r="D106" s="627"/>
      <c r="E106" s="627"/>
      <c r="F106" s="627"/>
      <c r="G106" s="628"/>
      <c r="H106" s="325">
        <f>SUM(H104:H105)</f>
        <v>22558.35</v>
      </c>
      <c r="I106" s="627"/>
      <c r="J106" s="627"/>
      <c r="K106" s="627"/>
      <c r="L106" s="628"/>
      <c r="M106" s="318">
        <f>SUM(M104:M105)</f>
        <v>65385.7644</v>
      </c>
      <c r="N106" s="627"/>
      <c r="O106" s="627"/>
      <c r="P106" s="627"/>
      <c r="Q106" s="628"/>
      <c r="R106" s="318">
        <f>SUM(R104:R105)</f>
        <v>10024</v>
      </c>
      <c r="S106" s="321">
        <f>SUM(H106,M106,R106)</f>
        <v>97968.114399999991</v>
      </c>
    </row>
    <row r="107" spans="1:19">
      <c r="A107" s="403" t="s">
        <v>172</v>
      </c>
      <c r="B107" s="404" t="str">
        <f>PLANILHA!D56</f>
        <v>REGULARIZAÇÃO DA SUB-BASE</v>
      </c>
      <c r="C107" s="405"/>
      <c r="D107" s="406"/>
      <c r="E107" s="406"/>
      <c r="F107" s="406"/>
      <c r="G107" s="406"/>
      <c r="H107" s="407"/>
      <c r="I107" s="305"/>
      <c r="J107" s="305"/>
      <c r="K107" s="305"/>
      <c r="L107" s="305"/>
      <c r="M107" s="300"/>
      <c r="N107" s="305"/>
      <c r="O107" s="305"/>
      <c r="P107" s="305"/>
      <c r="Q107" s="305"/>
      <c r="R107" s="300"/>
      <c r="S107" s="91"/>
    </row>
    <row r="108" spans="1:19" ht="22.5">
      <c r="A108" s="301" t="s">
        <v>174</v>
      </c>
      <c r="B108" s="302" t="str">
        <f>PLANILHA!D57</f>
        <v>ESCAVAÇÃO HORIZONTAL, INCLUINDO CARGA E DESCARGA EM SOLO DE 1A CATEGORIA COM TRATOR DE ESTEIRAS (170HP/LÂMINA: 5,20M3). AF_07/2020</v>
      </c>
      <c r="C108" s="301" t="s">
        <v>336</v>
      </c>
      <c r="D108" s="306"/>
      <c r="E108" s="306"/>
      <c r="F108" s="306"/>
      <c r="G108" s="306"/>
      <c r="H108" s="328"/>
      <c r="I108" s="327"/>
      <c r="J108" s="306"/>
      <c r="K108" s="306"/>
      <c r="L108" s="306"/>
      <c r="M108" s="316"/>
      <c r="N108" s="306"/>
      <c r="O108" s="306"/>
      <c r="P108" s="306"/>
      <c r="Q108" s="306"/>
      <c r="R108" s="316"/>
      <c r="S108" s="91"/>
    </row>
    <row r="109" spans="1:19">
      <c r="A109" s="303"/>
      <c r="B109" s="304" t="s">
        <v>628</v>
      </c>
      <c r="C109" s="303"/>
      <c r="D109" s="307">
        <v>1</v>
      </c>
      <c r="E109" s="307">
        <v>1</v>
      </c>
      <c r="F109" s="307">
        <v>4511.67</v>
      </c>
      <c r="G109" s="307">
        <v>1</v>
      </c>
      <c r="H109" s="323">
        <f>D109*E109*F109*G109</f>
        <v>4511.67</v>
      </c>
      <c r="I109" s="326">
        <v>1</v>
      </c>
      <c r="J109" s="307">
        <v>22</v>
      </c>
      <c r="K109" s="307">
        <v>830.19</v>
      </c>
      <c r="L109" s="307">
        <v>0.4</v>
      </c>
      <c r="M109" s="317">
        <f>I109*J109*K109*L109</f>
        <v>7305.6720000000005</v>
      </c>
      <c r="N109" s="307">
        <v>1</v>
      </c>
      <c r="O109" s="307">
        <v>14</v>
      </c>
      <c r="P109" s="307">
        <v>200</v>
      </c>
      <c r="Q109" s="307">
        <v>0.4</v>
      </c>
      <c r="R109" s="317">
        <f>N109*O109*P109*Q109</f>
        <v>1120</v>
      </c>
      <c r="S109" s="91"/>
    </row>
    <row r="110" spans="1:19">
      <c r="A110" s="303"/>
      <c r="B110" s="310"/>
      <c r="C110" s="626" t="s">
        <v>583</v>
      </c>
      <c r="D110" s="627"/>
      <c r="E110" s="627"/>
      <c r="F110" s="627"/>
      <c r="G110" s="628"/>
      <c r="H110" s="325">
        <f>SUM(H109)</f>
        <v>4511.67</v>
      </c>
      <c r="I110" s="627"/>
      <c r="J110" s="627"/>
      <c r="K110" s="627"/>
      <c r="L110" s="628"/>
      <c r="M110" s="318">
        <f>SUM(M109)</f>
        <v>7305.6720000000005</v>
      </c>
      <c r="N110" s="627"/>
      <c r="O110" s="627"/>
      <c r="P110" s="627"/>
      <c r="Q110" s="628"/>
      <c r="R110" s="318">
        <f>SUM(R109)</f>
        <v>1120</v>
      </c>
      <c r="S110" s="321">
        <f>SUM(H110,M110,R110)</f>
        <v>12937.342000000001</v>
      </c>
    </row>
    <row r="111" spans="1:19" ht="22.5">
      <c r="A111" s="301" t="s">
        <v>175</v>
      </c>
      <c r="B111" s="302" t="str">
        <f>PLANILHA!D58</f>
        <v>TRANSPORTE COM CAMINHÃO BASCULANTE DE 10 M³, EM VIA URBANA PAVIMENTADA, DMT ATÉ 30 KM (UNIDADE: M3XKM). AF_07/2020</v>
      </c>
      <c r="C111" s="301" t="s">
        <v>625</v>
      </c>
      <c r="D111" s="306"/>
      <c r="E111" s="306"/>
      <c r="F111" s="306"/>
      <c r="G111" s="306"/>
      <c r="H111" s="328"/>
      <c r="I111" s="327"/>
      <c r="J111" s="306"/>
      <c r="K111" s="306"/>
      <c r="L111" s="306"/>
      <c r="M111" s="316"/>
      <c r="N111" s="306"/>
      <c r="O111" s="306"/>
      <c r="P111" s="306"/>
      <c r="Q111" s="306"/>
      <c r="R111" s="316"/>
      <c r="S111" s="91"/>
    </row>
    <row r="112" spans="1:19">
      <c r="A112" s="303"/>
      <c r="B112" s="304" t="s">
        <v>626</v>
      </c>
      <c r="C112" s="303"/>
      <c r="D112" s="307">
        <v>8</v>
      </c>
      <c r="E112" s="307">
        <v>1</v>
      </c>
      <c r="F112" s="307">
        <f>H109</f>
        <v>4511.67</v>
      </c>
      <c r="G112" s="307">
        <v>1.25</v>
      </c>
      <c r="H112" s="323">
        <f>D112*E112*F112*G112</f>
        <v>45116.7</v>
      </c>
      <c r="I112" s="326">
        <v>1</v>
      </c>
      <c r="J112" s="307">
        <v>22</v>
      </c>
      <c r="K112" s="307">
        <v>830.19</v>
      </c>
      <c r="L112" s="307">
        <v>0.4</v>
      </c>
      <c r="M112" s="317">
        <f>I112*J112*K112*L112</f>
        <v>7305.6720000000005</v>
      </c>
      <c r="N112" s="307">
        <v>1</v>
      </c>
      <c r="O112" s="307">
        <v>14</v>
      </c>
      <c r="P112" s="307">
        <v>200</v>
      </c>
      <c r="Q112" s="307">
        <v>0.4</v>
      </c>
      <c r="R112" s="317">
        <f>N112*O112*P112*Q112</f>
        <v>1120</v>
      </c>
      <c r="S112" s="91"/>
    </row>
    <row r="113" spans="1:19">
      <c r="A113" s="303"/>
      <c r="B113" s="310"/>
      <c r="C113" s="626" t="s">
        <v>583</v>
      </c>
      <c r="D113" s="627"/>
      <c r="E113" s="627"/>
      <c r="F113" s="627"/>
      <c r="G113" s="628"/>
      <c r="H113" s="325">
        <f>SUM(H112)</f>
        <v>45116.7</v>
      </c>
      <c r="I113" s="627"/>
      <c r="J113" s="627"/>
      <c r="K113" s="627"/>
      <c r="L113" s="628"/>
      <c r="M113" s="318">
        <f>SUM(M112)</f>
        <v>7305.6720000000005</v>
      </c>
      <c r="N113" s="627"/>
      <c r="O113" s="627"/>
      <c r="P113" s="627"/>
      <c r="Q113" s="628"/>
      <c r="R113" s="318">
        <f>SUM(R112)</f>
        <v>1120</v>
      </c>
      <c r="S113" s="321">
        <f>SUM(H113,M113,R113)</f>
        <v>53542.371999999996</v>
      </c>
    </row>
    <row r="114" spans="1:19" ht="33.75">
      <c r="A114" s="301" t="s">
        <v>176</v>
      </c>
      <c r="B114" s="302" t="str">
        <f>PLANILHA!D59</f>
        <v>EXECUÇÃO E COMPACTAÇÃO DE BASE E OU SUB BASE PARA PAVIMENTAÇÃO DE SOLO ESTABILIZADO GRANULOMETRICAMENTE SEM MISTURA DE SOLOS - EXCLUSIVE SOLO, ESCAVAÇÃO, CARGA E TRANSPORTE. AF_11/2019</v>
      </c>
      <c r="C114" s="301" t="s">
        <v>336</v>
      </c>
      <c r="D114" s="306"/>
      <c r="E114" s="306"/>
      <c r="F114" s="306"/>
      <c r="G114" s="306"/>
      <c r="H114" s="328"/>
      <c r="I114" s="327"/>
      <c r="J114" s="306"/>
      <c r="K114" s="306"/>
      <c r="L114" s="306"/>
      <c r="M114" s="316"/>
      <c r="N114" s="306"/>
      <c r="O114" s="306"/>
      <c r="P114" s="306"/>
      <c r="Q114" s="306"/>
      <c r="R114" s="316"/>
      <c r="S114" s="91"/>
    </row>
    <row r="115" spans="1:19">
      <c r="A115" s="303"/>
      <c r="B115" s="304" t="s">
        <v>629</v>
      </c>
      <c r="C115" s="303"/>
      <c r="D115" s="307">
        <v>1</v>
      </c>
      <c r="E115" s="307">
        <v>1</v>
      </c>
      <c r="F115" s="307">
        <v>4511.67</v>
      </c>
      <c r="G115" s="307">
        <v>1</v>
      </c>
      <c r="H115" s="323">
        <f>D115*E115*F115*G115</f>
        <v>4511.67</v>
      </c>
      <c r="I115" s="326">
        <v>1</v>
      </c>
      <c r="J115" s="307">
        <v>22</v>
      </c>
      <c r="K115" s="307">
        <v>830.19</v>
      </c>
      <c r="L115" s="307">
        <v>0.4</v>
      </c>
      <c r="M115" s="317">
        <f>I115*J115*K115*L115</f>
        <v>7305.6720000000005</v>
      </c>
      <c r="N115" s="307">
        <v>1</v>
      </c>
      <c r="O115" s="307">
        <v>14</v>
      </c>
      <c r="P115" s="307">
        <v>200</v>
      </c>
      <c r="Q115" s="307">
        <v>0.4</v>
      </c>
      <c r="R115" s="317">
        <f>N115*O115*P115*Q115</f>
        <v>1120</v>
      </c>
      <c r="S115" s="91"/>
    </row>
    <row r="116" spans="1:19">
      <c r="A116" s="303"/>
      <c r="B116" s="310"/>
      <c r="C116" s="626" t="s">
        <v>583</v>
      </c>
      <c r="D116" s="627"/>
      <c r="E116" s="627"/>
      <c r="F116" s="627"/>
      <c r="G116" s="628"/>
      <c r="H116" s="325">
        <f>SUM(H115)</f>
        <v>4511.67</v>
      </c>
      <c r="I116" s="627"/>
      <c r="J116" s="627"/>
      <c r="K116" s="627"/>
      <c r="L116" s="628"/>
      <c r="M116" s="318">
        <f>SUM(M115)</f>
        <v>7305.6720000000005</v>
      </c>
      <c r="N116" s="627"/>
      <c r="O116" s="627"/>
      <c r="P116" s="627"/>
      <c r="Q116" s="628"/>
      <c r="R116" s="318">
        <f>SUM(R115)</f>
        <v>1120</v>
      </c>
      <c r="S116" s="321">
        <f>SUM(H116,M116,R116)</f>
        <v>12937.342000000001</v>
      </c>
    </row>
    <row r="117" spans="1:19">
      <c r="A117" s="403" t="s">
        <v>179</v>
      </c>
      <c r="B117" s="404" t="str">
        <f>PLANILHA!D62</f>
        <v>REGULARIZAÇÃO DA BASE</v>
      </c>
      <c r="C117" s="405"/>
      <c r="D117" s="406"/>
      <c r="E117" s="406"/>
      <c r="F117" s="406"/>
      <c r="G117" s="406"/>
      <c r="H117" s="407"/>
      <c r="I117" s="327"/>
      <c r="J117" s="306"/>
      <c r="K117" s="306"/>
      <c r="L117" s="306"/>
      <c r="M117" s="316"/>
      <c r="N117" s="306"/>
      <c r="O117" s="306"/>
      <c r="P117" s="306"/>
      <c r="Q117" s="306"/>
      <c r="R117" s="316"/>
      <c r="S117" s="91"/>
    </row>
    <row r="118" spans="1:19" ht="22.5">
      <c r="A118" s="301" t="s">
        <v>181</v>
      </c>
      <c r="B118" s="302" t="str">
        <f>PLANILHA!D63</f>
        <v>ESCAVAÇÃO HORIZONTAL, INCLUINDO CARGA E DESCARGA EM SOLO DE 1A CATEGORIA COM TRATOR DE ESTEIRAS (170HP/LÂMINA: 5,20M3). AF_07/2020</v>
      </c>
      <c r="C118" s="301" t="s">
        <v>336</v>
      </c>
      <c r="D118" s="306"/>
      <c r="E118" s="306"/>
      <c r="F118" s="306"/>
      <c r="G118" s="306"/>
      <c r="H118" s="328"/>
      <c r="I118" s="326">
        <v>1</v>
      </c>
      <c r="J118" s="307">
        <v>22</v>
      </c>
      <c r="K118" s="307">
        <v>830.19</v>
      </c>
      <c r="L118" s="307">
        <v>1</v>
      </c>
      <c r="M118" s="317">
        <f>I118*J118*K118*L118</f>
        <v>18264.18</v>
      </c>
      <c r="N118" s="307">
        <v>1</v>
      </c>
      <c r="O118" s="307">
        <v>14</v>
      </c>
      <c r="P118" s="307">
        <v>200</v>
      </c>
      <c r="Q118" s="307">
        <v>1</v>
      </c>
      <c r="R118" s="317">
        <f>N118*O118*P118*Q118</f>
        <v>2800</v>
      </c>
      <c r="S118" s="91"/>
    </row>
    <row r="119" spans="1:19">
      <c r="A119" s="303"/>
      <c r="B119" s="304" t="s">
        <v>628</v>
      </c>
      <c r="C119" s="303"/>
      <c r="D119" s="307">
        <v>1</v>
      </c>
      <c r="E119" s="307">
        <v>1</v>
      </c>
      <c r="F119" s="307">
        <v>3589.77</v>
      </c>
      <c r="G119" s="307">
        <v>1</v>
      </c>
      <c r="H119" s="323">
        <f>D119*E119*F119*G119</f>
        <v>3589.77</v>
      </c>
      <c r="I119" s="326"/>
      <c r="J119" s="307"/>
      <c r="K119" s="307"/>
      <c r="L119" s="307"/>
      <c r="M119" s="317">
        <f>I119*J119*K119*L119</f>
        <v>0</v>
      </c>
      <c r="N119" s="307"/>
      <c r="O119" s="307"/>
      <c r="P119" s="307"/>
      <c r="Q119" s="307"/>
      <c r="R119" s="317">
        <f>N119*O119*P119*Q119</f>
        <v>0</v>
      </c>
      <c r="S119" s="91"/>
    </row>
    <row r="120" spans="1:19">
      <c r="A120" s="303"/>
      <c r="B120" s="310"/>
      <c r="C120" s="626" t="s">
        <v>583</v>
      </c>
      <c r="D120" s="627"/>
      <c r="E120" s="627"/>
      <c r="F120" s="627"/>
      <c r="G120" s="628"/>
      <c r="H120" s="325">
        <f>SUM(H119)</f>
        <v>3589.77</v>
      </c>
      <c r="I120" s="326"/>
      <c r="J120" s="307"/>
      <c r="K120" s="307"/>
      <c r="L120" s="307"/>
      <c r="M120" s="317">
        <f>I120*J120*K120*L120</f>
        <v>0</v>
      </c>
      <c r="N120" s="307"/>
      <c r="O120" s="307"/>
      <c r="P120" s="307"/>
      <c r="Q120" s="307"/>
      <c r="R120" s="317">
        <f>N120*O120*P120*Q120</f>
        <v>0</v>
      </c>
      <c r="S120" s="91"/>
    </row>
    <row r="121" spans="1:19" ht="22.5">
      <c r="A121" s="301" t="s">
        <v>182</v>
      </c>
      <c r="B121" s="302" t="str">
        <f>PLANILHA!D64</f>
        <v>TRANSPORTE COM CAMINHÃO BASCULANTE DE 10 M³, EM VIA URBANA PAVIMENTADA, DMT ATÉ 30 KM (UNIDADE: M3XKM). AF_07/2020</v>
      </c>
      <c r="C121" s="301" t="s">
        <v>625</v>
      </c>
      <c r="D121" s="306"/>
      <c r="E121" s="306"/>
      <c r="F121" s="306"/>
      <c r="G121" s="306"/>
      <c r="H121" s="328"/>
      <c r="I121" s="326"/>
      <c r="J121" s="307"/>
      <c r="K121" s="307"/>
      <c r="L121" s="307"/>
      <c r="M121" s="317">
        <f>I121*J121*K121*L121</f>
        <v>0</v>
      </c>
      <c r="N121" s="307"/>
      <c r="O121" s="307"/>
      <c r="P121" s="307"/>
      <c r="Q121" s="307"/>
      <c r="R121" s="323"/>
      <c r="S121" s="91"/>
    </row>
    <row r="122" spans="1:19">
      <c r="A122" s="303"/>
      <c r="B122" s="304" t="s">
        <v>626</v>
      </c>
      <c r="C122" s="303"/>
      <c r="D122" s="307">
        <v>8</v>
      </c>
      <c r="E122" s="307">
        <v>1</v>
      </c>
      <c r="F122" s="307">
        <f>H119</f>
        <v>3589.77</v>
      </c>
      <c r="G122" s="307">
        <v>1.25</v>
      </c>
      <c r="H122" s="323">
        <f>D122*E122*F122*G122</f>
        <v>35897.699999999997</v>
      </c>
      <c r="I122" s="627"/>
      <c r="J122" s="627"/>
      <c r="K122" s="627"/>
      <c r="L122" s="628"/>
      <c r="M122" s="325">
        <f>SUM(M118:M121)</f>
        <v>18264.18</v>
      </c>
      <c r="N122" s="626"/>
      <c r="O122" s="627"/>
      <c r="P122" s="627"/>
      <c r="Q122" s="628"/>
      <c r="R122" s="318">
        <f>SUM(R118:R120)</f>
        <v>2800</v>
      </c>
      <c r="S122" s="321">
        <f>SUM(H122,M122,R122)</f>
        <v>56961.88</v>
      </c>
    </row>
    <row r="123" spans="1:19">
      <c r="A123" s="303"/>
      <c r="B123" s="310"/>
      <c r="C123" s="626" t="s">
        <v>583</v>
      </c>
      <c r="D123" s="627"/>
      <c r="E123" s="627"/>
      <c r="F123" s="627"/>
      <c r="G123" s="628"/>
      <c r="H123" s="325">
        <f>SUM(H122)</f>
        <v>35897.699999999997</v>
      </c>
      <c r="I123" s="327"/>
      <c r="J123" s="306"/>
      <c r="K123" s="306"/>
      <c r="L123" s="306"/>
      <c r="M123" s="328"/>
      <c r="N123" s="327"/>
      <c r="O123" s="306"/>
      <c r="P123" s="306"/>
      <c r="Q123" s="306"/>
      <c r="R123" s="316"/>
      <c r="S123" s="91"/>
    </row>
    <row r="124" spans="1:19" ht="33.75">
      <c r="A124" s="301" t="s">
        <v>183</v>
      </c>
      <c r="B124" s="302" t="str">
        <f>PLANILHA!D65</f>
        <v>EXECUÇÃO E COMPACTAÇÃO DE BASE E OU SUB BASE PARA PAVIMENTAÇÃO DE SOLO ESTABILIZADO GRANULOMETRICAMENTE SEM MISTURA DE SOLOS - EXCLUSIVE SOLO, ESCAVAÇÃO, CARGA E TRANSPORTE. AF_11/2019</v>
      </c>
      <c r="C124" s="301" t="s">
        <v>336</v>
      </c>
      <c r="D124" s="306"/>
      <c r="E124" s="306"/>
      <c r="F124" s="306"/>
      <c r="G124" s="306"/>
      <c r="H124" s="328"/>
      <c r="I124" s="326">
        <v>17.899999999999999</v>
      </c>
      <c r="J124" s="307">
        <v>22</v>
      </c>
      <c r="K124" s="307">
        <v>830.19</v>
      </c>
      <c r="L124" s="307">
        <v>0.4</v>
      </c>
      <c r="M124" s="323">
        <f>I124*J124*K124*L124</f>
        <v>130771.5288</v>
      </c>
      <c r="N124" s="307">
        <v>17.899999999999999</v>
      </c>
      <c r="O124" s="307">
        <v>14</v>
      </c>
      <c r="P124" s="307">
        <v>200</v>
      </c>
      <c r="Q124" s="307">
        <v>0.4</v>
      </c>
      <c r="R124" s="317">
        <f>N124*O124*P124*Q124</f>
        <v>20048</v>
      </c>
      <c r="S124" s="91"/>
    </row>
    <row r="125" spans="1:19">
      <c r="A125" s="303"/>
      <c r="B125" s="304" t="s">
        <v>629</v>
      </c>
      <c r="C125" s="303"/>
      <c r="D125" s="307">
        <v>1</v>
      </c>
      <c r="E125" s="307">
        <v>1</v>
      </c>
      <c r="F125" s="307">
        <v>3589.77</v>
      </c>
      <c r="G125" s="307">
        <v>1</v>
      </c>
      <c r="H125" s="323">
        <f>D125*E125*F125*G125</f>
        <v>3589.77</v>
      </c>
      <c r="I125" s="627"/>
      <c r="J125" s="627"/>
      <c r="K125" s="627"/>
      <c r="L125" s="628"/>
      <c r="M125" s="325">
        <f>SUM(M124)</f>
        <v>130771.5288</v>
      </c>
      <c r="N125" s="626"/>
      <c r="O125" s="627"/>
      <c r="P125" s="627"/>
      <c r="Q125" s="628"/>
      <c r="R125" s="318">
        <f>SUM(R124)</f>
        <v>20048</v>
      </c>
      <c r="S125" s="321">
        <f>SUM(H125,M125,R125)</f>
        <v>154409.29879999999</v>
      </c>
    </row>
    <row r="126" spans="1:19">
      <c r="A126" s="303"/>
      <c r="B126" s="310"/>
      <c r="C126" s="626" t="s">
        <v>583</v>
      </c>
      <c r="D126" s="627"/>
      <c r="E126" s="627"/>
      <c r="F126" s="627"/>
      <c r="G126" s="628"/>
      <c r="H126" s="325">
        <f>SUM(H125)</f>
        <v>3589.77</v>
      </c>
      <c r="I126" s="305"/>
      <c r="J126" s="305"/>
      <c r="K126" s="305"/>
      <c r="L126" s="305"/>
      <c r="M126" s="300"/>
      <c r="N126" s="305"/>
      <c r="O126" s="305"/>
      <c r="P126" s="305"/>
      <c r="Q126" s="305"/>
      <c r="R126" s="300"/>
      <c r="S126" s="91"/>
    </row>
    <row r="127" spans="1:19">
      <c r="A127" s="398" t="s">
        <v>630</v>
      </c>
      <c r="B127" s="399" t="str">
        <f>PLANILHA!D69</f>
        <v>PAVIMENTAÇÃO</v>
      </c>
      <c r="C127" s="400"/>
      <c r="D127" s="401"/>
      <c r="E127" s="401"/>
      <c r="F127" s="401"/>
      <c r="G127" s="401"/>
      <c r="H127" s="402"/>
      <c r="I127" s="327"/>
      <c r="J127" s="306"/>
      <c r="K127" s="306"/>
      <c r="L127" s="306"/>
      <c r="M127" s="316"/>
      <c r="N127" s="306"/>
      <c r="O127" s="306"/>
      <c r="P127" s="306"/>
      <c r="Q127" s="306"/>
      <c r="R127" s="316"/>
      <c r="S127" s="91"/>
    </row>
    <row r="128" spans="1:19">
      <c r="A128" s="301" t="s">
        <v>187</v>
      </c>
      <c r="B128" s="302" t="str">
        <f>PLANILHA!D70</f>
        <v>EXECUÇÃO DE IMPRIMAÇÃO DE BASE DE PAVIMENTAÇÃO</v>
      </c>
      <c r="C128" s="301" t="s">
        <v>32</v>
      </c>
      <c r="D128" s="306"/>
      <c r="E128" s="306"/>
      <c r="F128" s="306"/>
      <c r="G128" s="306"/>
      <c r="H128" s="328"/>
      <c r="I128" s="326"/>
      <c r="J128" s="307"/>
      <c r="K128" s="307"/>
      <c r="L128" s="307"/>
      <c r="M128" s="317">
        <f>I128*J128*K128*L128</f>
        <v>0</v>
      </c>
      <c r="N128" s="307"/>
      <c r="O128" s="307"/>
      <c r="P128" s="307"/>
      <c r="Q128" s="307"/>
      <c r="R128" s="317">
        <f>N128*O128*P128*Q128</f>
        <v>0</v>
      </c>
      <c r="S128" s="91"/>
    </row>
    <row r="129" spans="1:19">
      <c r="A129" s="303"/>
      <c r="B129" s="304" t="s">
        <v>631</v>
      </c>
      <c r="C129" s="303"/>
      <c r="D129" s="307">
        <v>1</v>
      </c>
      <c r="E129" s="307">
        <v>1</v>
      </c>
      <c r="F129" s="307">
        <f>897.45/0.05</f>
        <v>17949</v>
      </c>
      <c r="G129" s="307">
        <v>1</v>
      </c>
      <c r="H129" s="323">
        <f>D129*E129*F129*G129</f>
        <v>17949</v>
      </c>
      <c r="I129" s="326"/>
      <c r="J129" s="307"/>
      <c r="K129" s="307"/>
      <c r="L129" s="307"/>
      <c r="M129" s="317">
        <f>I129*J129*K129*L129</f>
        <v>0</v>
      </c>
      <c r="N129" s="307"/>
      <c r="O129" s="307"/>
      <c r="P129" s="307"/>
      <c r="Q129" s="307"/>
      <c r="R129" s="317">
        <f>N129*O129*P129*Q129</f>
        <v>0</v>
      </c>
      <c r="S129" s="91"/>
    </row>
    <row r="130" spans="1:19">
      <c r="A130" s="303"/>
      <c r="B130" s="310"/>
      <c r="C130" s="625" t="s">
        <v>583</v>
      </c>
      <c r="D130" s="625"/>
      <c r="E130" s="625"/>
      <c r="F130" s="625"/>
      <c r="G130" s="625"/>
      <c r="H130" s="325">
        <f>H129</f>
        <v>17949</v>
      </c>
      <c r="I130" s="326"/>
      <c r="J130" s="307"/>
      <c r="K130" s="307"/>
      <c r="L130" s="307"/>
      <c r="M130" s="317">
        <f>I130*J130*K130*L130</f>
        <v>0</v>
      </c>
      <c r="N130" s="307"/>
      <c r="O130" s="307"/>
      <c r="P130" s="307"/>
      <c r="Q130" s="307"/>
      <c r="R130" s="317">
        <f>N130*O130*P130*Q130</f>
        <v>0</v>
      </c>
      <c r="S130" s="91"/>
    </row>
    <row r="131" spans="1:19" ht="22.5">
      <c r="A131" s="301" t="s">
        <v>190</v>
      </c>
      <c r="B131" s="302" t="str">
        <f>PLANILHA!D71</f>
        <v>EXECUÇÃO DE PINTURA DE LIGAÇÃO COM EMULSÃO ASFÁLTICA RR-2C. AF_11/2019</v>
      </c>
      <c r="C131" s="301" t="s">
        <v>32</v>
      </c>
      <c r="D131" s="306"/>
      <c r="E131" s="306"/>
      <c r="F131" s="306"/>
      <c r="G131" s="306"/>
      <c r="H131" s="328"/>
      <c r="I131" s="326"/>
      <c r="J131" s="307"/>
      <c r="K131" s="307"/>
      <c r="L131" s="307"/>
      <c r="M131" s="317">
        <f>I131*J131*K131*L131</f>
        <v>0</v>
      </c>
      <c r="N131" s="307"/>
      <c r="O131" s="307"/>
      <c r="P131" s="307"/>
      <c r="Q131" s="307"/>
      <c r="R131" s="317">
        <f>N131*O131*P131*Q131</f>
        <v>0</v>
      </c>
      <c r="S131" s="91"/>
    </row>
    <row r="132" spans="1:19">
      <c r="A132" s="303"/>
      <c r="B132" s="313" t="s">
        <v>632</v>
      </c>
      <c r="C132" s="303"/>
      <c r="D132" s="307">
        <v>1</v>
      </c>
      <c r="E132" s="307">
        <v>1</v>
      </c>
      <c r="F132" s="307">
        <f>897.45/0.05</f>
        <v>17949</v>
      </c>
      <c r="G132" s="307">
        <v>1</v>
      </c>
      <c r="H132" s="323">
        <f>D132*E132*F132*G132</f>
        <v>17949</v>
      </c>
      <c r="I132" s="326"/>
      <c r="J132" s="307"/>
      <c r="K132" s="307"/>
      <c r="L132" s="307"/>
      <c r="M132" s="317">
        <f>I132*J132*K132*L132</f>
        <v>0</v>
      </c>
      <c r="N132" s="307"/>
      <c r="O132" s="307"/>
      <c r="P132" s="307"/>
      <c r="Q132" s="307"/>
      <c r="R132" s="323"/>
      <c r="S132" s="91"/>
    </row>
    <row r="133" spans="1:19">
      <c r="A133" s="303"/>
      <c r="B133" s="310"/>
      <c r="C133" s="625" t="s">
        <v>583</v>
      </c>
      <c r="D133" s="625"/>
      <c r="E133" s="625"/>
      <c r="F133" s="625"/>
      <c r="G133" s="625"/>
      <c r="H133" s="325">
        <f>SUM(H128:H129)</f>
        <v>17949</v>
      </c>
      <c r="I133" s="627"/>
      <c r="J133" s="627"/>
      <c r="K133" s="627"/>
      <c r="L133" s="628"/>
      <c r="M133" s="325">
        <f>SUM(M128:M132)</f>
        <v>0</v>
      </c>
      <c r="N133" s="626"/>
      <c r="O133" s="627"/>
      <c r="P133" s="627"/>
      <c r="Q133" s="628"/>
      <c r="R133" s="325">
        <f>SUM(R128:R131)</f>
        <v>0</v>
      </c>
      <c r="S133" s="321">
        <f>SUM(H133,M133,R133)</f>
        <v>17949</v>
      </c>
    </row>
    <row r="134" spans="1:19" ht="22.5">
      <c r="A134" s="301" t="s">
        <v>192</v>
      </c>
      <c r="B134" s="302" t="str">
        <f>PLANILHA!D72</f>
        <v>TRANSPORTE COM CAMINHÃO BASCULANTE DE 14 M³, EM VIA URBANA PAVIMENTADA, DMT ATÉ 30 KM (UNIDADE: M3XKM). AF_07/2020</v>
      </c>
      <c r="C134" s="301" t="s">
        <v>625</v>
      </c>
      <c r="D134" s="306"/>
      <c r="E134" s="306"/>
      <c r="F134" s="306"/>
      <c r="G134" s="306"/>
      <c r="H134" s="328"/>
      <c r="I134" s="327"/>
      <c r="J134" s="306"/>
      <c r="K134" s="306"/>
      <c r="L134" s="306"/>
      <c r="M134" s="316"/>
      <c r="N134" s="306"/>
      <c r="O134" s="306"/>
      <c r="P134" s="306"/>
      <c r="Q134" s="306"/>
      <c r="R134" s="316"/>
      <c r="S134" s="91"/>
    </row>
    <row r="135" spans="1:19" ht="22.5">
      <c r="A135" s="303"/>
      <c r="B135" s="304" t="s">
        <v>633</v>
      </c>
      <c r="C135" s="303"/>
      <c r="D135" s="307">
        <v>6</v>
      </c>
      <c r="E135" s="307">
        <v>1</v>
      </c>
      <c r="F135" s="307">
        <v>897.45</v>
      </c>
      <c r="G135" s="307">
        <v>1</v>
      </c>
      <c r="H135" s="323">
        <f>D135*E135*F135*G135</f>
        <v>5384.7000000000007</v>
      </c>
      <c r="I135" s="326"/>
      <c r="J135" s="307"/>
      <c r="K135" s="307"/>
      <c r="L135" s="307"/>
      <c r="M135" s="317">
        <f>I135*J135*K135*L135</f>
        <v>0</v>
      </c>
      <c r="N135" s="307"/>
      <c r="O135" s="307"/>
      <c r="P135" s="307"/>
      <c r="Q135" s="307"/>
      <c r="R135" s="317">
        <f>N135*O135*P135*Q135</f>
        <v>0</v>
      </c>
      <c r="S135" s="91"/>
    </row>
    <row r="136" spans="1:19" hidden="1">
      <c r="A136" s="303"/>
      <c r="B136" s="304"/>
      <c r="C136" s="303"/>
      <c r="D136" s="307">
        <v>2433.7199999999998</v>
      </c>
      <c r="E136" s="307"/>
      <c r="F136" s="307"/>
      <c r="G136" s="307"/>
      <c r="H136" s="323">
        <f>D136*E136*F136*G136</f>
        <v>0</v>
      </c>
      <c r="I136" s="326"/>
      <c r="J136" s="307"/>
      <c r="K136" s="307"/>
      <c r="L136" s="307"/>
      <c r="M136" s="317">
        <f>I136*J136*K136*L136</f>
        <v>0</v>
      </c>
      <c r="N136" s="307"/>
      <c r="O136" s="307"/>
      <c r="P136" s="307"/>
      <c r="Q136" s="307"/>
      <c r="R136" s="317">
        <f>N136*O136*P136*Q136</f>
        <v>0</v>
      </c>
      <c r="S136" s="91"/>
    </row>
    <row r="137" spans="1:19" hidden="1">
      <c r="A137" s="303"/>
      <c r="B137" s="313"/>
      <c r="C137" s="314"/>
      <c r="D137" s="307"/>
      <c r="E137" s="307"/>
      <c r="F137" s="307"/>
      <c r="G137" s="307"/>
      <c r="H137" s="323"/>
      <c r="I137" s="326"/>
      <c r="J137" s="307"/>
      <c r="K137" s="307"/>
      <c r="L137" s="307"/>
      <c r="M137" s="323"/>
      <c r="N137" s="307"/>
      <c r="O137" s="307"/>
      <c r="P137" s="307"/>
      <c r="Q137" s="307"/>
      <c r="R137" s="317">
        <f>N137*O137*P137*Q137</f>
        <v>0</v>
      </c>
      <c r="S137" s="91"/>
    </row>
    <row r="138" spans="1:19" hidden="1">
      <c r="A138" s="303"/>
      <c r="B138" s="313"/>
      <c r="C138" s="314"/>
      <c r="D138" s="307"/>
      <c r="E138" s="307"/>
      <c r="F138" s="307"/>
      <c r="G138" s="307"/>
      <c r="H138" s="323"/>
      <c r="I138" s="326"/>
      <c r="J138" s="307"/>
      <c r="K138" s="307"/>
      <c r="L138" s="307"/>
      <c r="M138" s="323"/>
      <c r="N138" s="307"/>
      <c r="O138" s="307"/>
      <c r="P138" s="307"/>
      <c r="Q138" s="307"/>
      <c r="R138" s="317">
        <f>N138*O138*P138*Q138</f>
        <v>0</v>
      </c>
      <c r="S138" s="91"/>
    </row>
    <row r="139" spans="1:19" hidden="1">
      <c r="A139" s="303"/>
      <c r="B139" s="313"/>
      <c r="C139" s="303"/>
      <c r="D139" s="307"/>
      <c r="E139" s="307"/>
      <c r="F139" s="307"/>
      <c r="G139" s="307"/>
      <c r="H139" s="323"/>
      <c r="I139" s="326"/>
      <c r="J139" s="307"/>
      <c r="K139" s="307"/>
      <c r="L139" s="307"/>
      <c r="M139" s="317">
        <f>I139*J139*K139*L139</f>
        <v>0</v>
      </c>
      <c r="N139" s="307"/>
      <c r="O139" s="307"/>
      <c r="P139" s="307"/>
      <c r="Q139" s="307"/>
      <c r="R139" s="323"/>
      <c r="S139" s="91"/>
    </row>
    <row r="140" spans="1:19">
      <c r="A140" s="303"/>
      <c r="B140" s="310"/>
      <c r="C140" s="626" t="s">
        <v>583</v>
      </c>
      <c r="D140" s="627"/>
      <c r="E140" s="627"/>
      <c r="F140" s="627"/>
      <c r="G140" s="628"/>
      <c r="H140" s="325">
        <f>SUM(H135:H136)</f>
        <v>5384.7000000000007</v>
      </c>
      <c r="I140" s="627"/>
      <c r="J140" s="627"/>
      <c r="K140" s="627"/>
      <c r="L140" s="628"/>
      <c r="M140" s="318">
        <f>SUM(M135:M139)</f>
        <v>0</v>
      </c>
      <c r="N140" s="627"/>
      <c r="O140" s="627"/>
      <c r="P140" s="627"/>
      <c r="Q140" s="628"/>
      <c r="R140" s="318">
        <f>SUM(R135:R138)</f>
        <v>0</v>
      </c>
      <c r="S140" s="321">
        <f>SUM(H140,R140)</f>
        <v>5384.7000000000007</v>
      </c>
    </row>
    <row r="141" spans="1:19" ht="22.5">
      <c r="A141" s="301" t="s">
        <v>194</v>
      </c>
      <c r="B141" s="302" t="str">
        <f>PLANILHA!D73</f>
        <v>EXECUÇÃO DE PAVIMENTO COM APLICAÇÃO DE CONCRETO ASFÁLTICO, CAMADA DE ROLAMENTO - EXCLUSIVE CARGA E TRANSPORTE. AF_11/2019</v>
      </c>
      <c r="C141" s="301" t="s">
        <v>114</v>
      </c>
      <c r="D141" s="306"/>
      <c r="E141" s="306"/>
      <c r="F141" s="306"/>
      <c r="G141" s="306"/>
      <c r="H141" s="328"/>
      <c r="I141" s="327"/>
      <c r="J141" s="306"/>
      <c r="K141" s="306"/>
      <c r="L141" s="306"/>
      <c r="M141" s="316"/>
      <c r="N141" s="306"/>
      <c r="O141" s="306"/>
      <c r="P141" s="306"/>
      <c r="Q141" s="306"/>
      <c r="R141" s="316"/>
      <c r="S141" s="91"/>
    </row>
    <row r="142" spans="1:19">
      <c r="A142" s="303"/>
      <c r="B142" s="304" t="s">
        <v>634</v>
      </c>
      <c r="C142" s="303"/>
      <c r="D142" s="307">
        <v>1</v>
      </c>
      <c r="E142" s="307">
        <v>897.45</v>
      </c>
      <c r="F142" s="307">
        <v>1</v>
      </c>
      <c r="G142" s="307">
        <v>1</v>
      </c>
      <c r="H142" s="323">
        <f>D142*E142*F142*G142</f>
        <v>897.45</v>
      </c>
      <c r="I142" s="326"/>
      <c r="J142" s="307"/>
      <c r="K142" s="307"/>
      <c r="L142" s="307"/>
      <c r="M142" s="317">
        <f>I142*J142*K142*L142</f>
        <v>0</v>
      </c>
      <c r="N142" s="307"/>
      <c r="O142" s="307"/>
      <c r="P142" s="307"/>
      <c r="Q142" s="307"/>
      <c r="R142" s="317">
        <f>N142*O142*P142*Q142</f>
        <v>0</v>
      </c>
      <c r="S142" s="91"/>
    </row>
    <row r="143" spans="1:19">
      <c r="A143" s="303"/>
      <c r="B143" s="310"/>
      <c r="C143" s="626" t="s">
        <v>583</v>
      </c>
      <c r="D143" s="627"/>
      <c r="E143" s="627"/>
      <c r="F143" s="627"/>
      <c r="G143" s="628"/>
      <c r="H143" s="325">
        <f>SUM(H142:H142)</f>
        <v>897.45</v>
      </c>
      <c r="I143" s="627"/>
      <c r="J143" s="627"/>
      <c r="K143" s="627"/>
      <c r="L143" s="628"/>
      <c r="M143" s="318">
        <f>SUM(M142:M142)</f>
        <v>0</v>
      </c>
      <c r="N143" s="627"/>
      <c r="O143" s="627"/>
      <c r="P143" s="627"/>
      <c r="Q143" s="628"/>
      <c r="R143" s="318">
        <f>SUM(R142:R142)</f>
        <v>0</v>
      </c>
      <c r="S143" s="321">
        <f>SUM(H143,M143,R143)</f>
        <v>897.45</v>
      </c>
    </row>
    <row r="144" spans="1:19">
      <c r="A144" s="398" t="s">
        <v>635</v>
      </c>
      <c r="B144" s="399" t="str">
        <f>PLANILHA!D76</f>
        <v>SINALIZAÇÃO VIÁRIA</v>
      </c>
      <c r="C144" s="400"/>
      <c r="D144" s="401"/>
      <c r="E144" s="401"/>
      <c r="F144" s="401"/>
      <c r="G144" s="401"/>
      <c r="H144" s="402"/>
      <c r="I144" s="327"/>
      <c r="J144" s="306"/>
      <c r="K144" s="306"/>
      <c r="L144" s="306"/>
      <c r="M144" s="316"/>
      <c r="N144" s="306"/>
      <c r="O144" s="306"/>
      <c r="P144" s="306"/>
      <c r="Q144" s="306"/>
      <c r="R144" s="316"/>
      <c r="S144" s="91"/>
    </row>
    <row r="145" spans="1:19" ht="22.5">
      <c r="A145" s="301" t="s">
        <v>198</v>
      </c>
      <c r="B145" s="302" t="str">
        <f>PLANILHA!D79</f>
        <v>Fornecimento e implantação de suporte metálico galvanizado para placa de regulamentação - R1 - lado de 0,497 m</v>
      </c>
      <c r="C145" s="301" t="s">
        <v>107</v>
      </c>
      <c r="D145" s="306"/>
      <c r="E145" s="306"/>
      <c r="F145" s="306"/>
      <c r="G145" s="306"/>
      <c r="H145" s="328"/>
      <c r="I145" s="326"/>
      <c r="J145" s="307"/>
      <c r="K145" s="307"/>
      <c r="L145" s="307"/>
      <c r="M145" s="317">
        <f>I145*J145*K145*L145</f>
        <v>0</v>
      </c>
      <c r="N145" s="307"/>
      <c r="O145" s="307"/>
      <c r="P145" s="307"/>
      <c r="Q145" s="307"/>
      <c r="R145" s="317">
        <f t="shared" ref="R145:R151" si="0">N145*O145*P145*Q145</f>
        <v>0</v>
      </c>
      <c r="S145" s="91"/>
    </row>
    <row r="146" spans="1:19">
      <c r="A146" s="303"/>
      <c r="B146" s="304" t="s">
        <v>636</v>
      </c>
      <c r="C146" s="303"/>
      <c r="D146" s="307">
        <v>8633.4500000000007</v>
      </c>
      <c r="E146" s="307">
        <v>1</v>
      </c>
      <c r="F146" s="307">
        <v>1</v>
      </c>
      <c r="G146" s="307">
        <v>1</v>
      </c>
      <c r="H146" s="323">
        <f>D146*E146*F146*G146</f>
        <v>8633.4500000000007</v>
      </c>
      <c r="I146" s="326"/>
      <c r="J146" s="307"/>
      <c r="K146" s="307"/>
      <c r="L146" s="307"/>
      <c r="M146" s="317">
        <f>I146*J146*K146*L146</f>
        <v>0</v>
      </c>
      <c r="N146" s="307"/>
      <c r="O146" s="307"/>
      <c r="P146" s="307"/>
      <c r="Q146" s="307"/>
      <c r="R146" s="317">
        <f t="shared" si="0"/>
        <v>0</v>
      </c>
      <c r="S146" s="91"/>
    </row>
    <row r="147" spans="1:19" ht="22.5">
      <c r="A147" s="301" t="s">
        <v>200</v>
      </c>
      <c r="B147" s="302" t="str">
        <f>PLANILHA!D79</f>
        <v>Fornecimento e implantação de suporte metálico galvanizado para placa de regulamentação - R1 - lado de 0,497 m</v>
      </c>
      <c r="C147" s="301" t="s">
        <v>594</v>
      </c>
      <c r="D147" s="306"/>
      <c r="E147" s="306"/>
      <c r="F147" s="306"/>
      <c r="G147" s="306"/>
      <c r="H147" s="328"/>
      <c r="I147" s="326">
        <v>2</v>
      </c>
      <c r="J147" s="307">
        <v>1</v>
      </c>
      <c r="K147" s="307">
        <v>830.19</v>
      </c>
      <c r="L147" s="307">
        <v>1</v>
      </c>
      <c r="M147" s="317">
        <f>I147*J147*K147*L147</f>
        <v>1660.38</v>
      </c>
      <c r="N147" s="307">
        <v>2</v>
      </c>
      <c r="O147" s="307">
        <v>1</v>
      </c>
      <c r="P147" s="307">
        <v>200</v>
      </c>
      <c r="Q147" s="307">
        <v>1</v>
      </c>
      <c r="R147" s="317">
        <f t="shared" si="0"/>
        <v>400</v>
      </c>
      <c r="S147" s="91"/>
    </row>
    <row r="148" spans="1:19">
      <c r="A148" s="303"/>
      <c r="B148" s="304" t="s">
        <v>637</v>
      </c>
      <c r="C148" s="303" t="s">
        <v>638</v>
      </c>
      <c r="D148" s="307">
        <v>12</v>
      </c>
      <c r="E148" s="307">
        <v>1</v>
      </c>
      <c r="F148" s="307">
        <v>1</v>
      </c>
      <c r="G148" s="307">
        <v>1</v>
      </c>
      <c r="H148" s="323">
        <f>D148*E148*F148*G148</f>
        <v>12</v>
      </c>
      <c r="I148" s="326"/>
      <c r="J148" s="307"/>
      <c r="K148" s="307"/>
      <c r="L148" s="307"/>
      <c r="M148" s="317">
        <f>I148*J148*K148*L148</f>
        <v>0</v>
      </c>
      <c r="N148" s="307"/>
      <c r="O148" s="307"/>
      <c r="P148" s="307"/>
      <c r="Q148" s="307"/>
      <c r="R148" s="317">
        <f t="shared" si="0"/>
        <v>0</v>
      </c>
      <c r="S148" s="91"/>
    </row>
    <row r="149" spans="1:19">
      <c r="A149" s="303"/>
      <c r="B149" s="304" t="s">
        <v>639</v>
      </c>
      <c r="C149" s="314" t="s">
        <v>638</v>
      </c>
      <c r="D149" s="322">
        <v>12</v>
      </c>
      <c r="E149" s="307">
        <v>1</v>
      </c>
      <c r="F149" s="307">
        <v>1</v>
      </c>
      <c r="G149" s="307">
        <v>1</v>
      </c>
      <c r="H149" s="323">
        <f>D149*E149*F149*G149</f>
        <v>12</v>
      </c>
      <c r="I149" s="326"/>
      <c r="J149" s="307"/>
      <c r="K149" s="307"/>
      <c r="L149" s="307"/>
      <c r="M149" s="317">
        <f>I149*J149*K149*L149</f>
        <v>0</v>
      </c>
      <c r="N149" s="307"/>
      <c r="O149" s="307"/>
      <c r="P149" s="307"/>
      <c r="Q149" s="307"/>
      <c r="R149" s="317">
        <f t="shared" si="0"/>
        <v>0</v>
      </c>
      <c r="S149" s="91"/>
    </row>
    <row r="150" spans="1:19">
      <c r="A150" s="303"/>
      <c r="B150" s="304"/>
      <c r="C150" s="314"/>
      <c r="D150" s="322"/>
      <c r="E150" s="307"/>
      <c r="F150" s="307"/>
      <c r="G150" s="307"/>
      <c r="H150" s="323">
        <f>D150*E150*F150*G150</f>
        <v>0</v>
      </c>
      <c r="I150" s="326"/>
      <c r="J150" s="307"/>
      <c r="K150" s="307"/>
      <c r="L150" s="307"/>
      <c r="M150" s="323"/>
      <c r="N150" s="307"/>
      <c r="O150" s="307"/>
      <c r="P150" s="307"/>
      <c r="Q150" s="307"/>
      <c r="R150" s="317">
        <f t="shared" si="0"/>
        <v>0</v>
      </c>
      <c r="S150" s="91"/>
    </row>
    <row r="151" spans="1:19">
      <c r="A151" s="303"/>
      <c r="B151" s="310"/>
      <c r="C151" s="625" t="s">
        <v>583</v>
      </c>
      <c r="D151" s="625"/>
      <c r="E151" s="625"/>
      <c r="F151" s="625"/>
      <c r="G151" s="625"/>
      <c r="H151" s="325">
        <f>SUM(H148:H150)</f>
        <v>24</v>
      </c>
      <c r="I151" s="326"/>
      <c r="J151" s="307"/>
      <c r="K151" s="307"/>
      <c r="L151" s="307"/>
      <c r="M151" s="323"/>
      <c r="N151" s="307"/>
      <c r="O151" s="307"/>
      <c r="P151" s="307"/>
      <c r="Q151" s="307"/>
      <c r="R151" s="317">
        <f t="shared" si="0"/>
        <v>0</v>
      </c>
      <c r="S151" s="91"/>
    </row>
    <row r="152" spans="1:19">
      <c r="A152" s="303"/>
      <c r="B152" s="313"/>
      <c r="C152" s="303"/>
      <c r="D152" s="307"/>
      <c r="E152" s="307"/>
      <c r="F152" s="307"/>
      <c r="G152" s="307"/>
      <c r="H152" s="323"/>
      <c r="I152" s="627"/>
      <c r="J152" s="627"/>
      <c r="K152" s="627"/>
      <c r="L152" s="628"/>
      <c r="M152" s="325">
        <f>SUM(M147:M149)</f>
        <v>1660.38</v>
      </c>
      <c r="N152" s="626"/>
      <c r="O152" s="627"/>
      <c r="P152" s="627"/>
      <c r="Q152" s="628"/>
      <c r="R152" s="325">
        <f>SUM(R147:R151)</f>
        <v>400</v>
      </c>
      <c r="S152" s="321">
        <f>SUM(H166,M152,R152)</f>
        <v>2615.08</v>
      </c>
    </row>
    <row r="153" spans="1:19">
      <c r="A153" s="303"/>
      <c r="B153" s="313"/>
      <c r="C153" s="303"/>
      <c r="D153" s="307"/>
      <c r="E153" s="307"/>
      <c r="F153" s="307"/>
      <c r="G153" s="307"/>
      <c r="H153" s="323"/>
      <c r="I153" s="327"/>
      <c r="J153" s="306"/>
      <c r="K153" s="306"/>
      <c r="L153" s="306"/>
      <c r="M153" s="316"/>
      <c r="N153" s="306"/>
      <c r="O153" s="306"/>
      <c r="P153" s="306"/>
      <c r="Q153" s="306"/>
      <c r="R153" s="316"/>
      <c r="S153" s="91"/>
    </row>
    <row r="154" spans="1:19">
      <c r="A154" s="303"/>
      <c r="B154" s="310"/>
      <c r="C154" s="625" t="s">
        <v>583</v>
      </c>
      <c r="D154" s="625"/>
      <c r="E154" s="625"/>
      <c r="F154" s="625"/>
      <c r="G154" s="625"/>
      <c r="H154" s="325">
        <f>SUM(H145:H146)</f>
        <v>8633.4500000000007</v>
      </c>
      <c r="I154" s="326">
        <v>2</v>
      </c>
      <c r="J154" s="307">
        <v>1</v>
      </c>
      <c r="K154" s="307">
        <v>830.19</v>
      </c>
      <c r="L154" s="307">
        <v>1</v>
      </c>
      <c r="M154" s="317">
        <f>I154*J154*K154*L154</f>
        <v>1660.38</v>
      </c>
      <c r="N154" s="307">
        <v>2</v>
      </c>
      <c r="O154" s="307">
        <v>1</v>
      </c>
      <c r="P154" s="307">
        <v>200</v>
      </c>
      <c r="Q154" s="307">
        <v>1</v>
      </c>
      <c r="R154" s="317">
        <f>N154*O154*P154*Q154</f>
        <v>400</v>
      </c>
      <c r="S154" s="91"/>
    </row>
    <row r="155" spans="1:19">
      <c r="A155" s="398" t="s">
        <v>640</v>
      </c>
      <c r="B155" s="399" t="str">
        <f>PLANILHA!D82</f>
        <v>MEIO FIO, SARJETA E CALÇADA</v>
      </c>
      <c r="C155" s="400"/>
      <c r="D155" s="401"/>
      <c r="E155" s="401"/>
      <c r="F155" s="401"/>
      <c r="G155" s="401"/>
      <c r="H155" s="402"/>
      <c r="I155" s="326"/>
      <c r="J155" s="307"/>
      <c r="K155" s="307"/>
      <c r="L155" s="307"/>
      <c r="M155" s="317">
        <f>I155*J155*K155*L155</f>
        <v>0</v>
      </c>
      <c r="N155" s="307"/>
      <c r="O155" s="307"/>
      <c r="P155" s="307"/>
      <c r="Q155" s="307"/>
      <c r="R155" s="317">
        <f>N155*O155*P155*Q155</f>
        <v>0</v>
      </c>
      <c r="S155" s="91"/>
    </row>
    <row r="156" spans="1:19" ht="33.75">
      <c r="A156" s="301" t="s">
        <v>208</v>
      </c>
      <c r="B156" s="302" t="str">
        <f>PLANILHA!D83</f>
        <v>GUIA (MEIO-FIO) E SARJETA CONJUGADOS DE CONCRETO, MOLDADA  IN LOCO  EM TRECHO RETO COM EXTRUSORA, 45 CM BASE (15 CM BASE DA GUIA + 30 CM BASE DA SARJETA) X 22 CM ALTURA. AF_06/2016</v>
      </c>
      <c r="C156" s="301" t="s">
        <v>24</v>
      </c>
      <c r="D156" s="306"/>
      <c r="E156" s="306"/>
      <c r="F156" s="306"/>
      <c r="G156" s="306"/>
      <c r="H156" s="328"/>
      <c r="I156" s="326"/>
      <c r="J156" s="307"/>
      <c r="K156" s="307"/>
      <c r="L156" s="307"/>
      <c r="M156" s="317">
        <f>I156*J156*K156*L156</f>
        <v>0</v>
      </c>
      <c r="N156" s="307"/>
      <c r="O156" s="307"/>
      <c r="P156" s="307"/>
      <c r="Q156" s="307"/>
      <c r="R156" s="317">
        <f>N156*O156*P156*Q156</f>
        <v>0</v>
      </c>
      <c r="S156" s="91"/>
    </row>
    <row r="157" spans="1:19">
      <c r="A157" s="303"/>
      <c r="B157" s="304" t="s">
        <v>641</v>
      </c>
      <c r="C157" s="347">
        <v>723.6</v>
      </c>
      <c r="D157" s="307">
        <v>2</v>
      </c>
      <c r="E157" s="307">
        <v>1</v>
      </c>
      <c r="F157" s="307">
        <f>C157/0.1305/2</f>
        <v>2772.4137931034484</v>
      </c>
      <c r="G157" s="307">
        <v>1</v>
      </c>
      <c r="H157" s="323">
        <f>D157*E157*F157*G157</f>
        <v>5544.8275862068967</v>
      </c>
      <c r="I157" s="627"/>
      <c r="J157" s="627"/>
      <c r="K157" s="627"/>
      <c r="L157" s="628"/>
      <c r="M157" s="325">
        <f>SUM(M154:M156)</f>
        <v>1660.38</v>
      </c>
      <c r="N157" s="626"/>
      <c r="O157" s="627"/>
      <c r="P157" s="627"/>
      <c r="Q157" s="628"/>
      <c r="R157" s="325">
        <f>SUM(R154:R156)</f>
        <v>400</v>
      </c>
      <c r="S157" s="321">
        <f>SUM(H171,M157,R157)</f>
        <v>7607.38</v>
      </c>
    </row>
    <row r="158" spans="1:19">
      <c r="A158" s="303"/>
      <c r="B158" s="304"/>
      <c r="C158" s="314"/>
      <c r="D158" s="307"/>
      <c r="E158" s="307"/>
      <c r="F158" s="307"/>
      <c r="G158" s="307"/>
      <c r="H158" s="323"/>
      <c r="I158" s="305"/>
      <c r="J158" s="305"/>
      <c r="K158" s="305"/>
      <c r="L158" s="305"/>
      <c r="M158" s="300"/>
      <c r="N158" s="305"/>
      <c r="O158" s="305"/>
      <c r="P158" s="305"/>
      <c r="Q158" s="305"/>
      <c r="R158" s="300"/>
      <c r="S158" s="319"/>
    </row>
    <row r="159" spans="1:19">
      <c r="A159" s="303"/>
      <c r="B159" s="310"/>
      <c r="C159" s="626" t="s">
        <v>583</v>
      </c>
      <c r="D159" s="627"/>
      <c r="E159" s="627"/>
      <c r="F159" s="627"/>
      <c r="G159" s="628"/>
      <c r="H159" s="325">
        <f>SUM(H157:H157)</f>
        <v>5544.8275862068967</v>
      </c>
      <c r="I159" s="327"/>
      <c r="J159" s="306"/>
      <c r="K159" s="306"/>
      <c r="L159" s="306"/>
      <c r="M159" s="316"/>
      <c r="N159" s="306"/>
      <c r="O159" s="306"/>
      <c r="P159" s="306"/>
      <c r="Q159" s="306"/>
      <c r="R159" s="316"/>
      <c r="S159" s="91"/>
    </row>
    <row r="160" spans="1:19" ht="22.5">
      <c r="A160" s="301" t="s">
        <v>210</v>
      </c>
      <c r="B160" s="302" t="str">
        <f>PLANILHA!D84</f>
        <v>ESCAVAÇÃO HORIZONTAL, INCLUINDO CARGA E DESCARGA EM SOLO DE 1A CATEGORIA COM TRATOR DE ESTEIRAS (170HP/LÂMINA: 5,20M3). AF_07/2020</v>
      </c>
      <c r="C160" s="301" t="s">
        <v>336</v>
      </c>
      <c r="D160" s="306"/>
      <c r="E160" s="306"/>
      <c r="F160" s="306"/>
      <c r="G160" s="306"/>
      <c r="H160" s="328"/>
      <c r="I160" s="326"/>
      <c r="J160" s="307"/>
      <c r="K160" s="307"/>
      <c r="L160" s="307"/>
      <c r="M160" s="317">
        <f>I160*J160*K160*L160</f>
        <v>0</v>
      </c>
      <c r="N160" s="307"/>
      <c r="O160" s="307"/>
      <c r="P160" s="307"/>
      <c r="Q160" s="307"/>
      <c r="R160" s="317">
        <f>N160*O160*P160*Q160</f>
        <v>0</v>
      </c>
      <c r="S160" s="91"/>
    </row>
    <row r="161" spans="1:19">
      <c r="A161" s="303"/>
      <c r="B161" s="313" t="s">
        <v>642</v>
      </c>
      <c r="C161" s="303"/>
      <c r="D161" s="307">
        <v>2</v>
      </c>
      <c r="E161" s="307">
        <v>1.2</v>
      </c>
      <c r="F161" s="307">
        <f>5547/2/1.2</f>
        <v>2311.25</v>
      </c>
      <c r="G161" s="307">
        <v>0.1</v>
      </c>
      <c r="H161" s="323">
        <f>D161*E161*F161*G161</f>
        <v>554.70000000000005</v>
      </c>
      <c r="I161" s="326"/>
      <c r="J161" s="307"/>
      <c r="K161" s="307"/>
      <c r="L161" s="307"/>
      <c r="M161" s="317">
        <f>I161*J161*K161*L161</f>
        <v>0</v>
      </c>
      <c r="N161" s="307"/>
      <c r="O161" s="307"/>
      <c r="P161" s="307"/>
      <c r="Q161" s="307"/>
      <c r="R161" s="317">
        <f>N161*O161*P161*Q161</f>
        <v>0</v>
      </c>
      <c r="S161" s="91"/>
    </row>
    <row r="162" spans="1:19">
      <c r="A162" s="303"/>
      <c r="B162" s="304"/>
      <c r="C162" s="303"/>
      <c r="D162" s="307"/>
      <c r="E162" s="307"/>
      <c r="F162" s="307"/>
      <c r="G162" s="307"/>
      <c r="H162" s="323">
        <f>D162*E162*F162*G162</f>
        <v>0</v>
      </c>
      <c r="I162" s="326"/>
      <c r="J162" s="307"/>
      <c r="K162" s="307"/>
      <c r="L162" s="307"/>
      <c r="M162" s="317">
        <f>I162*J162*K162*L162</f>
        <v>0</v>
      </c>
      <c r="N162" s="307"/>
      <c r="O162" s="307"/>
      <c r="P162" s="307"/>
      <c r="Q162" s="307"/>
      <c r="R162" s="317">
        <f>N162*O162*P162*Q162</f>
        <v>0</v>
      </c>
      <c r="S162" s="91"/>
    </row>
    <row r="163" spans="1:19">
      <c r="A163" s="303"/>
      <c r="B163" s="304"/>
      <c r="C163" s="314"/>
      <c r="D163" s="307"/>
      <c r="E163" s="307"/>
      <c r="F163" s="307"/>
      <c r="G163" s="307"/>
      <c r="H163" s="323">
        <f>D163*E163*F163*G163</f>
        <v>0</v>
      </c>
      <c r="I163" s="326"/>
      <c r="J163" s="307"/>
      <c r="K163" s="307"/>
      <c r="L163" s="307"/>
      <c r="M163" s="323"/>
      <c r="N163" s="307"/>
      <c r="O163" s="307"/>
      <c r="P163" s="307"/>
      <c r="Q163" s="307"/>
      <c r="R163" s="317">
        <f>N163*O163*P163*Q163</f>
        <v>0</v>
      </c>
      <c r="S163" s="91"/>
    </row>
    <row r="164" spans="1:19">
      <c r="A164" s="303"/>
      <c r="B164" s="313"/>
      <c r="C164" s="314"/>
      <c r="D164" s="307"/>
      <c r="E164" s="307"/>
      <c r="F164" s="307"/>
      <c r="G164" s="307"/>
      <c r="H164" s="323"/>
      <c r="I164" s="326"/>
      <c r="J164" s="307"/>
      <c r="K164" s="307"/>
      <c r="L164" s="307"/>
      <c r="M164" s="323"/>
      <c r="N164" s="307"/>
      <c r="O164" s="307"/>
      <c r="P164" s="307"/>
      <c r="Q164" s="307"/>
      <c r="R164" s="317">
        <f>N164*O164*P164*Q164</f>
        <v>0</v>
      </c>
      <c r="S164" s="91"/>
    </row>
    <row r="165" spans="1:19">
      <c r="A165" s="303"/>
      <c r="B165" s="313"/>
      <c r="C165" s="314"/>
      <c r="D165" s="307"/>
      <c r="E165" s="307"/>
      <c r="F165" s="307"/>
      <c r="G165" s="307"/>
      <c r="H165" s="323"/>
      <c r="I165" s="627"/>
      <c r="J165" s="627"/>
      <c r="K165" s="627"/>
      <c r="L165" s="628"/>
      <c r="M165" s="325">
        <f>SUM(M160:M162)</f>
        <v>0</v>
      </c>
      <c r="N165" s="626"/>
      <c r="O165" s="627"/>
      <c r="P165" s="627"/>
      <c r="Q165" s="628"/>
      <c r="R165" s="325">
        <f>SUM(R160:R164)</f>
        <v>0</v>
      </c>
      <c r="S165" s="321">
        <f>SUM(H180,M165,R165)</f>
        <v>0</v>
      </c>
    </row>
    <row r="166" spans="1:19">
      <c r="A166" s="303"/>
      <c r="B166" s="324"/>
      <c r="C166" s="625" t="s">
        <v>583</v>
      </c>
      <c r="D166" s="625"/>
      <c r="E166" s="625"/>
      <c r="F166" s="625"/>
      <c r="G166" s="625"/>
      <c r="H166" s="325">
        <f>SUM(H161:H163)</f>
        <v>554.70000000000005</v>
      </c>
      <c r="I166" s="327"/>
      <c r="J166" s="306"/>
      <c r="K166" s="306"/>
      <c r="L166" s="306"/>
      <c r="M166" s="316"/>
      <c r="N166" s="306"/>
      <c r="O166" s="306"/>
      <c r="P166" s="306"/>
      <c r="Q166" s="306"/>
      <c r="R166" s="316"/>
      <c r="S166" s="91"/>
    </row>
    <row r="167" spans="1:19" ht="22.5">
      <c r="A167" s="301" t="s">
        <v>211</v>
      </c>
      <c r="B167" s="302" t="str">
        <f>PLANILHA!D85</f>
        <v>TRANSPORTE COM CAMINHÃO BASCULANTE DE 10 M³, EM VIA URBANA PAVIMENTADA, DMT ATÉ 30 KM (UNIDADE: M3XKM). AF_07/2020</v>
      </c>
      <c r="C167" s="301" t="s">
        <v>643</v>
      </c>
      <c r="D167" s="306"/>
      <c r="E167" s="306"/>
      <c r="F167" s="306"/>
      <c r="G167" s="306"/>
      <c r="H167" s="328"/>
      <c r="I167" s="326"/>
      <c r="J167" s="307"/>
      <c r="K167" s="307"/>
      <c r="L167" s="307"/>
      <c r="M167" s="317">
        <f>I167*J167*K167*L167</f>
        <v>0</v>
      </c>
      <c r="N167" s="307"/>
      <c r="O167" s="307"/>
      <c r="P167" s="307"/>
      <c r="Q167" s="307"/>
      <c r="R167" s="317">
        <f>N167*O167*P167*Q167</f>
        <v>0</v>
      </c>
      <c r="S167" s="91"/>
    </row>
    <row r="168" spans="1:19" ht="22.5">
      <c r="A168" s="303"/>
      <c r="B168" s="304" t="s">
        <v>644</v>
      </c>
      <c r="C168" s="303"/>
      <c r="D168" s="307">
        <v>8</v>
      </c>
      <c r="E168" s="307">
        <v>1</v>
      </c>
      <c r="F168" s="307">
        <f>H166</f>
        <v>554.70000000000005</v>
      </c>
      <c r="G168" s="307">
        <v>1.25</v>
      </c>
      <c r="H168" s="375">
        <f>D168*E168*F168*G168</f>
        <v>5547</v>
      </c>
      <c r="I168" s="627"/>
      <c r="J168" s="627"/>
      <c r="K168" s="627"/>
      <c r="L168" s="628"/>
      <c r="M168" s="318">
        <f>SUM(M167:M167)</f>
        <v>0</v>
      </c>
      <c r="N168" s="627"/>
      <c r="O168" s="627"/>
      <c r="P168" s="627"/>
      <c r="Q168" s="628"/>
      <c r="R168" s="318">
        <f>SUM(R167:R167)</f>
        <v>0</v>
      </c>
      <c r="S168" s="321">
        <f>SUM(H183,M168,R168)</f>
        <v>5544.8275862068967</v>
      </c>
    </row>
    <row r="169" spans="1:19" ht="22.5" customHeight="1">
      <c r="A169" s="303"/>
      <c r="B169" s="304"/>
      <c r="C169" s="303"/>
      <c r="D169" s="307"/>
      <c r="E169" s="307"/>
      <c r="F169" s="307"/>
      <c r="G169" s="307"/>
      <c r="H169" s="323">
        <f>D169*E169*F169*G169</f>
        <v>0</v>
      </c>
      <c r="I169" s="327"/>
      <c r="J169" s="306"/>
      <c r="K169" s="306"/>
      <c r="L169" s="306"/>
      <c r="M169" s="316"/>
      <c r="N169" s="306"/>
      <c r="O169" s="306"/>
      <c r="P169" s="306"/>
      <c r="Q169" s="306"/>
      <c r="R169" s="316"/>
      <c r="S169" s="91"/>
    </row>
    <row r="170" spans="1:19">
      <c r="A170" s="303"/>
      <c r="B170" s="304"/>
      <c r="C170" s="303"/>
      <c r="D170" s="307"/>
      <c r="E170" s="307"/>
      <c r="F170" s="307"/>
      <c r="G170" s="307"/>
      <c r="H170" s="323">
        <f>D170*E170*F170*G170</f>
        <v>0</v>
      </c>
      <c r="I170" s="326"/>
      <c r="J170" s="307"/>
      <c r="K170" s="307"/>
      <c r="L170" s="307"/>
      <c r="M170" s="317">
        <f>I170*J170*K170*L170</f>
        <v>0</v>
      </c>
      <c r="N170" s="307"/>
      <c r="O170" s="307"/>
      <c r="P170" s="307"/>
      <c r="Q170" s="307"/>
      <c r="R170" s="317">
        <f t="shared" ref="R170:R175" si="1">N170*O170*P170*Q170</f>
        <v>0</v>
      </c>
      <c r="S170" s="91"/>
    </row>
    <row r="171" spans="1:19">
      <c r="A171" s="303"/>
      <c r="B171" s="310"/>
      <c r="C171" s="625" t="s">
        <v>583</v>
      </c>
      <c r="D171" s="625"/>
      <c r="E171" s="625"/>
      <c r="F171" s="625"/>
      <c r="G171" s="625"/>
      <c r="H171" s="325">
        <f>SUM(H168:H170)</f>
        <v>5547</v>
      </c>
      <c r="I171" s="326"/>
      <c r="J171" s="307"/>
      <c r="K171" s="307"/>
      <c r="L171" s="307"/>
      <c r="M171" s="317">
        <f>I171*J171*K171*L171</f>
        <v>0</v>
      </c>
      <c r="N171" s="307"/>
      <c r="O171" s="307"/>
      <c r="P171" s="307"/>
      <c r="Q171" s="307"/>
      <c r="R171" s="317">
        <f t="shared" si="1"/>
        <v>0</v>
      </c>
      <c r="S171" s="91"/>
    </row>
    <row r="172" spans="1:19" ht="22.5">
      <c r="A172" s="301" t="s">
        <v>212</v>
      </c>
      <c r="B172" s="302" t="str">
        <f>PLANILHA!D86</f>
        <v>PREPARO DE FUNDO DE VALA COM LARGURA MAIOR OU IGUAL A 1,5 M E MENOR QUE 2,5 M (ACERTO DO SOLO NATURAL). AF_08/2020 (CALÇADA)</v>
      </c>
      <c r="C172" s="301" t="s">
        <v>97</v>
      </c>
      <c r="D172" s="306"/>
      <c r="E172" s="306"/>
      <c r="F172" s="306"/>
      <c r="G172" s="306"/>
      <c r="H172" s="328"/>
      <c r="I172" s="326"/>
      <c r="J172" s="307"/>
      <c r="K172" s="307"/>
      <c r="L172" s="307"/>
      <c r="M172" s="317">
        <f>I172*J172*K172*L172</f>
        <v>0</v>
      </c>
      <c r="N172" s="307"/>
      <c r="O172" s="307"/>
      <c r="P172" s="307"/>
      <c r="Q172" s="307"/>
      <c r="R172" s="317">
        <f t="shared" si="1"/>
        <v>0</v>
      </c>
      <c r="S172" s="91"/>
    </row>
    <row r="173" spans="1:19">
      <c r="A173" s="303"/>
      <c r="B173" s="304" t="s">
        <v>603</v>
      </c>
      <c r="C173" s="303"/>
      <c r="D173" s="307">
        <f>5547</f>
        <v>5547</v>
      </c>
      <c r="E173" s="307">
        <v>1</v>
      </c>
      <c r="F173" s="307">
        <v>1</v>
      </c>
      <c r="G173" s="307">
        <v>1</v>
      </c>
      <c r="H173" s="323">
        <f>D173*E173*F173*G173</f>
        <v>5547</v>
      </c>
      <c r="I173" s="326"/>
      <c r="J173" s="307"/>
      <c r="K173" s="307"/>
      <c r="L173" s="307"/>
      <c r="M173" s="317">
        <f>I173*J173*K173*L173</f>
        <v>0</v>
      </c>
      <c r="N173" s="307"/>
      <c r="O173" s="307"/>
      <c r="P173" s="307"/>
      <c r="Q173" s="307"/>
      <c r="R173" s="317">
        <f t="shared" si="1"/>
        <v>0</v>
      </c>
      <c r="S173" s="91"/>
    </row>
    <row r="174" spans="1:19">
      <c r="A174" s="303"/>
      <c r="B174" s="304"/>
      <c r="C174" s="303"/>
      <c r="D174" s="307"/>
      <c r="E174" s="307"/>
      <c r="F174" s="307"/>
      <c r="G174" s="307"/>
      <c r="H174" s="323">
        <f>D174*E174*F174*G174</f>
        <v>0</v>
      </c>
      <c r="I174" s="326"/>
      <c r="J174" s="307"/>
      <c r="K174" s="307"/>
      <c r="L174" s="307"/>
      <c r="M174" s="323"/>
      <c r="N174" s="307"/>
      <c r="O174" s="307"/>
      <c r="P174" s="307"/>
      <c r="Q174" s="307"/>
      <c r="R174" s="317">
        <f t="shared" si="1"/>
        <v>0</v>
      </c>
      <c r="S174" s="91"/>
    </row>
    <row r="175" spans="1:19">
      <c r="A175" s="303"/>
      <c r="B175" s="304"/>
      <c r="C175" s="303"/>
      <c r="D175" s="307"/>
      <c r="E175" s="307"/>
      <c r="F175" s="307"/>
      <c r="G175" s="307"/>
      <c r="H175" s="323">
        <f>D175*E175*F175*G175</f>
        <v>0</v>
      </c>
      <c r="I175" s="326"/>
      <c r="J175" s="307"/>
      <c r="K175" s="307"/>
      <c r="L175" s="307"/>
      <c r="M175" s="323"/>
      <c r="N175" s="307"/>
      <c r="O175" s="307"/>
      <c r="P175" s="307"/>
      <c r="Q175" s="307"/>
      <c r="R175" s="317">
        <f t="shared" si="1"/>
        <v>0</v>
      </c>
      <c r="S175" s="91"/>
    </row>
    <row r="176" spans="1:19">
      <c r="A176" s="303"/>
      <c r="B176" s="310"/>
      <c r="C176" s="625" t="s">
        <v>583</v>
      </c>
      <c r="D176" s="625"/>
      <c r="E176" s="625"/>
      <c r="F176" s="625"/>
      <c r="G176" s="625"/>
      <c r="H176" s="325">
        <f>SUM(H173:H175)</f>
        <v>5547</v>
      </c>
      <c r="I176" s="627"/>
      <c r="J176" s="627"/>
      <c r="K176" s="627"/>
      <c r="L176" s="628"/>
      <c r="M176" s="325">
        <f>SUM(M170:M173)</f>
        <v>0</v>
      </c>
      <c r="N176" s="626"/>
      <c r="O176" s="627"/>
      <c r="P176" s="627"/>
      <c r="Q176" s="628"/>
      <c r="R176" s="325">
        <f>SUM(R170:R175)</f>
        <v>0</v>
      </c>
      <c r="S176" s="321" t="e">
        <f>SUM(#REF!,M176,R176)</f>
        <v>#REF!</v>
      </c>
    </row>
    <row r="177" spans="1:19" ht="33.75">
      <c r="A177" s="301" t="s">
        <v>214</v>
      </c>
      <c r="B177" s="302" t="str">
        <f>PLANILHA!D87</f>
        <v>EXECUÇÃO DE PASSEIO (CALÇADA) OU PISO DE CONCRETO COM CONCRETO MOLDADO IN LOCO, FEITO EM OBRA, ACABAMENTO CONVENCIONAL, ESPESSURA 8 CM, ARMADO. AF_08/2022</v>
      </c>
      <c r="C177" s="301" t="s">
        <v>32</v>
      </c>
      <c r="D177" s="306"/>
      <c r="E177" s="306"/>
      <c r="F177" s="306"/>
      <c r="G177" s="306"/>
      <c r="H177" s="328"/>
      <c r="I177" s="327"/>
      <c r="J177" s="306"/>
      <c r="K177" s="306"/>
      <c r="L177" s="306"/>
      <c r="M177" s="316"/>
      <c r="N177" s="306"/>
      <c r="O177" s="306"/>
      <c r="P177" s="306"/>
      <c r="Q177" s="306"/>
      <c r="R177" s="316"/>
      <c r="S177" s="91"/>
    </row>
    <row r="178" spans="1:19">
      <c r="A178" s="303"/>
      <c r="B178" s="304" t="s">
        <v>645</v>
      </c>
      <c r="C178" s="303"/>
      <c r="D178" s="307">
        <f>443.76/0.08/1.2</f>
        <v>4622.5</v>
      </c>
      <c r="E178" s="307">
        <v>1.2</v>
      </c>
      <c r="F178" s="307">
        <v>1</v>
      </c>
      <c r="G178" s="307">
        <v>1</v>
      </c>
      <c r="H178" s="323">
        <f>D178*E178*F178*G178</f>
        <v>5547</v>
      </c>
      <c r="I178" s="326"/>
      <c r="J178" s="307"/>
      <c r="K178" s="307"/>
      <c r="L178" s="307"/>
      <c r="M178" s="317">
        <f t="shared" ref="M178:M183" si="2">I178*J178*K178*L178</f>
        <v>0</v>
      </c>
      <c r="N178" s="307"/>
      <c r="O178" s="307"/>
      <c r="P178" s="307"/>
      <c r="Q178" s="307"/>
      <c r="R178" s="317">
        <f t="shared" ref="R178:R185" si="3">N178*O178*P178*Q178</f>
        <v>0</v>
      </c>
      <c r="S178" s="91"/>
    </row>
    <row r="179" spans="1:19">
      <c r="A179" s="303"/>
      <c r="B179" s="304"/>
      <c r="C179" s="303"/>
      <c r="D179" s="307"/>
      <c r="E179" s="307"/>
      <c r="F179" s="307"/>
      <c r="G179" s="307"/>
      <c r="H179" s="323">
        <f>D179*E179*F179*G179</f>
        <v>0</v>
      </c>
      <c r="I179" s="326"/>
      <c r="J179" s="307"/>
      <c r="K179" s="307"/>
      <c r="L179" s="307"/>
      <c r="M179" s="317">
        <f t="shared" si="2"/>
        <v>0</v>
      </c>
      <c r="N179" s="307"/>
      <c r="O179" s="307"/>
      <c r="P179" s="307"/>
      <c r="Q179" s="307"/>
      <c r="R179" s="317">
        <f t="shared" si="3"/>
        <v>0</v>
      </c>
      <c r="S179" s="91"/>
    </row>
    <row r="180" spans="1:19">
      <c r="A180" s="303"/>
      <c r="B180" s="304"/>
      <c r="C180" s="303"/>
      <c r="D180" s="307"/>
      <c r="E180" s="307"/>
      <c r="F180" s="307"/>
      <c r="G180" s="307"/>
      <c r="H180" s="323">
        <f>D180*E180*F180*G180</f>
        <v>0</v>
      </c>
      <c r="I180" s="326"/>
      <c r="J180" s="307"/>
      <c r="K180" s="307"/>
      <c r="L180" s="307"/>
      <c r="M180" s="317">
        <f t="shared" si="2"/>
        <v>0</v>
      </c>
      <c r="N180" s="307"/>
      <c r="O180" s="307"/>
      <c r="P180" s="307"/>
      <c r="Q180" s="307"/>
      <c r="R180" s="317">
        <f t="shared" si="3"/>
        <v>0</v>
      </c>
      <c r="S180" s="91"/>
    </row>
    <row r="181" spans="1:19">
      <c r="A181" s="303"/>
      <c r="B181" s="310"/>
      <c r="C181" s="625" t="s">
        <v>583</v>
      </c>
      <c r="D181" s="625"/>
      <c r="E181" s="625"/>
      <c r="F181" s="625"/>
      <c r="G181" s="625"/>
      <c r="H181" s="325">
        <f>SUM(H178:H180)</f>
        <v>5547</v>
      </c>
      <c r="I181" s="326"/>
      <c r="J181" s="307"/>
      <c r="K181" s="307"/>
      <c r="L181" s="307"/>
      <c r="M181" s="317">
        <f t="shared" si="2"/>
        <v>0</v>
      </c>
      <c r="N181" s="307"/>
      <c r="O181" s="307"/>
      <c r="P181" s="307"/>
      <c r="Q181" s="307"/>
      <c r="R181" s="317">
        <f t="shared" si="3"/>
        <v>0</v>
      </c>
      <c r="S181" s="91"/>
    </row>
    <row r="182" spans="1:19">
      <c r="A182" s="301" t="s">
        <v>216</v>
      </c>
      <c r="B182" s="302" t="str">
        <f>PLANILHA!D88</f>
        <v>PINTURA DE MEIO-FIO COM TINTA BRANCA A BASE DE CAL (CAIAÇÃO). AF_05/2021</v>
      </c>
      <c r="C182" s="301" t="s">
        <v>24</v>
      </c>
      <c r="D182" s="306"/>
      <c r="E182" s="306"/>
      <c r="F182" s="306"/>
      <c r="G182" s="306"/>
      <c r="H182" s="328"/>
      <c r="I182" s="326"/>
      <c r="J182" s="307"/>
      <c r="K182" s="307"/>
      <c r="L182" s="307"/>
      <c r="M182" s="317">
        <f t="shared" si="2"/>
        <v>0</v>
      </c>
      <c r="N182" s="307"/>
      <c r="O182" s="307"/>
      <c r="P182" s="307"/>
      <c r="Q182" s="307"/>
      <c r="R182" s="317">
        <f t="shared" si="3"/>
        <v>0</v>
      </c>
      <c r="S182" s="91"/>
    </row>
    <row r="183" spans="1:19">
      <c r="A183" s="303"/>
      <c r="B183" s="304" t="s">
        <v>641</v>
      </c>
      <c r="C183" s="347">
        <v>723.6</v>
      </c>
      <c r="D183" s="307">
        <v>2</v>
      </c>
      <c r="E183" s="307">
        <v>1</v>
      </c>
      <c r="F183" s="307">
        <f>C183/0.1305/2</f>
        <v>2772.4137931034484</v>
      </c>
      <c r="G183" s="307">
        <v>1</v>
      </c>
      <c r="H183" s="323">
        <f>D183*E183*F183*G183</f>
        <v>5544.8275862068967</v>
      </c>
      <c r="I183" s="326"/>
      <c r="J183" s="307"/>
      <c r="K183" s="307"/>
      <c r="L183" s="307"/>
      <c r="M183" s="317">
        <f t="shared" si="2"/>
        <v>0</v>
      </c>
      <c r="N183" s="307"/>
      <c r="O183" s="307"/>
      <c r="P183" s="307"/>
      <c r="Q183" s="307"/>
      <c r="R183" s="317">
        <f t="shared" si="3"/>
        <v>0</v>
      </c>
      <c r="S183" s="91"/>
    </row>
    <row r="184" spans="1:19">
      <c r="A184" s="303"/>
      <c r="B184" s="304"/>
      <c r="C184" s="314"/>
      <c r="D184" s="307"/>
      <c r="E184" s="307"/>
      <c r="F184" s="307"/>
      <c r="G184" s="307"/>
      <c r="H184" s="323"/>
      <c r="I184" s="326"/>
      <c r="J184" s="307"/>
      <c r="K184" s="307"/>
      <c r="L184" s="307"/>
      <c r="M184" s="323"/>
      <c r="N184" s="307"/>
      <c r="O184" s="307"/>
      <c r="P184" s="307"/>
      <c r="Q184" s="307"/>
      <c r="R184" s="317">
        <f t="shared" si="3"/>
        <v>0</v>
      </c>
      <c r="S184" s="91"/>
    </row>
    <row r="185" spans="1:19">
      <c r="A185" s="303"/>
      <c r="B185" s="310"/>
      <c r="C185" s="626" t="s">
        <v>583</v>
      </c>
      <c r="D185" s="627"/>
      <c r="E185" s="627"/>
      <c r="F185" s="627"/>
      <c r="G185" s="628"/>
      <c r="H185" s="325">
        <f>SUM(H183:H183)</f>
        <v>5544.8275862068967</v>
      </c>
      <c r="I185" s="326"/>
      <c r="J185" s="307"/>
      <c r="K185" s="307"/>
      <c r="L185" s="307"/>
      <c r="M185" s="323"/>
      <c r="N185" s="307"/>
      <c r="O185" s="307"/>
      <c r="P185" s="307"/>
      <c r="Q185" s="307"/>
      <c r="R185" s="317">
        <f t="shared" si="3"/>
        <v>0</v>
      </c>
      <c r="S185" s="91"/>
    </row>
    <row r="187" spans="1:19" ht="50.25" customHeight="1">
      <c r="B187" s="396"/>
    </row>
    <row r="188" spans="1:19">
      <c r="B188" s="94" t="s">
        <v>219</v>
      </c>
    </row>
    <row r="189" spans="1:19">
      <c r="B189" s="94" t="s">
        <v>220</v>
      </c>
    </row>
    <row r="190" spans="1:19">
      <c r="B190" s="94" t="s">
        <v>221</v>
      </c>
    </row>
  </sheetData>
  <mergeCells count="101">
    <mergeCell ref="S7:S8"/>
    <mergeCell ref="N152:Q152"/>
    <mergeCell ref="N157:Q157"/>
    <mergeCell ref="N122:Q122"/>
    <mergeCell ref="N125:Q125"/>
    <mergeCell ref="N133:Q133"/>
    <mergeCell ref="N140:Q140"/>
    <mergeCell ref="I157:L157"/>
    <mergeCell ref="I94:L94"/>
    <mergeCell ref="I176:L176"/>
    <mergeCell ref="N6:R6"/>
    <mergeCell ref="N7:N8"/>
    <mergeCell ref="O7:O8"/>
    <mergeCell ref="P7:P8"/>
    <mergeCell ref="Q7:Q8"/>
    <mergeCell ref="R7:R8"/>
    <mergeCell ref="N30:Q30"/>
    <mergeCell ref="N116:Q116"/>
    <mergeCell ref="N94:Q94"/>
    <mergeCell ref="N165:Q165"/>
    <mergeCell ref="N89:Q89"/>
    <mergeCell ref="N143:Q143"/>
    <mergeCell ref="N98:Q98"/>
    <mergeCell ref="N168:Q168"/>
    <mergeCell ref="N176:Q176"/>
    <mergeCell ref="N102:Q102"/>
    <mergeCell ref="N106:Q106"/>
    <mergeCell ref="N110:Q110"/>
    <mergeCell ref="N113:Q113"/>
    <mergeCell ref="I165:L165"/>
    <mergeCell ref="I168:L168"/>
    <mergeCell ref="I116:L116"/>
    <mergeCell ref="I122:L122"/>
    <mergeCell ref="I125:L125"/>
    <mergeCell ref="I133:L133"/>
    <mergeCell ref="I140:L140"/>
    <mergeCell ref="I143:L143"/>
    <mergeCell ref="I152:L152"/>
    <mergeCell ref="C45:G45"/>
    <mergeCell ref="C49:G49"/>
    <mergeCell ref="C58:G58"/>
    <mergeCell ref="C74:G74"/>
    <mergeCell ref="C89:G89"/>
    <mergeCell ref="C116:G116"/>
    <mergeCell ref="I6:M6"/>
    <mergeCell ref="I7:I8"/>
    <mergeCell ref="J7:J8"/>
    <mergeCell ref="K7:K8"/>
    <mergeCell ref="L7:L8"/>
    <mergeCell ref="C71:G71"/>
    <mergeCell ref="C30:G30"/>
    <mergeCell ref="C65:G65"/>
    <mergeCell ref="C68:G68"/>
    <mergeCell ref="I98:L98"/>
    <mergeCell ref="I102:L102"/>
    <mergeCell ref="I106:L106"/>
    <mergeCell ref="I110:L110"/>
    <mergeCell ref="I113:L113"/>
    <mergeCell ref="M7:M8"/>
    <mergeCell ref="I30:L30"/>
    <mergeCell ref="I89:L89"/>
    <mergeCell ref="C84:G84"/>
    <mergeCell ref="C102:G102"/>
    <mergeCell ref="C110:G110"/>
    <mergeCell ref="C113:G113"/>
    <mergeCell ref="C94:G94"/>
    <mergeCell ref="C106:G106"/>
    <mergeCell ref="A1:H1"/>
    <mergeCell ref="A3:H3"/>
    <mergeCell ref="A7:A8"/>
    <mergeCell ref="B7:B8"/>
    <mergeCell ref="C7:C8"/>
    <mergeCell ref="D7:D8"/>
    <mergeCell ref="A2:H2"/>
    <mergeCell ref="C78:G78"/>
    <mergeCell ref="C81:G81"/>
    <mergeCell ref="A4:H4"/>
    <mergeCell ref="G7:G8"/>
    <mergeCell ref="F7:F8"/>
    <mergeCell ref="A5:H5"/>
    <mergeCell ref="C12:G12"/>
    <mergeCell ref="H7:H8"/>
    <mergeCell ref="D6:H6"/>
    <mergeCell ref="E7:E8"/>
    <mergeCell ref="C98:G98"/>
    <mergeCell ref="C37:G37"/>
    <mergeCell ref="C133:G133"/>
    <mergeCell ref="C140:G140"/>
    <mergeCell ref="C143:G143"/>
    <mergeCell ref="C120:G120"/>
    <mergeCell ref="C123:G123"/>
    <mergeCell ref="C181:G181"/>
    <mergeCell ref="C126:G126"/>
    <mergeCell ref="C130:G130"/>
    <mergeCell ref="C185:G185"/>
    <mergeCell ref="C154:G154"/>
    <mergeCell ref="C159:G159"/>
    <mergeCell ref="C166:G166"/>
    <mergeCell ref="C171:G171"/>
    <mergeCell ref="C176:G176"/>
    <mergeCell ref="C151:G151"/>
  </mergeCells>
  <phoneticPr fontId="65" type="noConversion"/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70" orientation="portrait" horizontalDpi="4294967295" verticalDpi="4294967295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79466-9F45-4E97-92F8-F82F08C9939A}">
  <dimension ref="A1:P200"/>
  <sheetViews>
    <sheetView workbookViewId="0">
      <selection activeCell="I10" sqref="I10"/>
    </sheetView>
  </sheetViews>
  <sheetFormatPr defaultRowHeight="12.75"/>
  <cols>
    <col min="1" max="1" width="7.7109375" customWidth="1"/>
    <col min="2" max="2" width="11.7109375" customWidth="1"/>
    <col min="3" max="3" width="10" customWidth="1"/>
    <col min="4" max="4" width="65" customWidth="1"/>
    <col min="5" max="5" width="15" customWidth="1"/>
    <col min="6" max="6" width="9.5703125" customWidth="1"/>
    <col min="7" max="7" width="15" customWidth="1"/>
    <col min="8" max="8" width="15" hidden="1" customWidth="1"/>
    <col min="9" max="9" width="15" customWidth="1"/>
    <col min="10" max="10" width="15" hidden="1" customWidth="1"/>
    <col min="11" max="11" width="15" customWidth="1"/>
    <col min="12" max="12" width="15" hidden="1" customWidth="1"/>
    <col min="13" max="13" width="17" customWidth="1"/>
    <col min="14" max="14" width="9.42578125" customWidth="1"/>
    <col min="15" max="15" width="14.5703125" customWidth="1"/>
    <col min="16" max="16" width="10" customWidth="1"/>
  </cols>
  <sheetData>
    <row r="1" spans="1:16">
      <c r="A1" s="382"/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</row>
    <row r="2" spans="1:16" ht="17.25">
      <c r="A2" s="383"/>
      <c r="B2" s="384"/>
      <c r="C2" s="384"/>
      <c r="D2" s="385"/>
      <c r="E2" s="384"/>
      <c r="F2" s="384" t="s">
        <v>222</v>
      </c>
      <c r="G2" s="384"/>
      <c r="H2" s="384" t="s">
        <v>646</v>
      </c>
      <c r="I2" s="384"/>
      <c r="J2" s="384"/>
      <c r="K2" s="384"/>
      <c r="L2" s="384"/>
      <c r="M2" s="384"/>
      <c r="N2" s="384"/>
      <c r="O2" s="384"/>
      <c r="P2" s="386"/>
    </row>
    <row r="3" spans="1:16" ht="39.75" customHeight="1">
      <c r="A3" s="571" t="s">
        <v>223</v>
      </c>
      <c r="B3" s="660"/>
      <c r="C3" s="660"/>
      <c r="D3" s="568" t="str">
        <f>PLANILHA!A4</f>
        <v>OBJETO: CONTRATAÇÃO DE EMPRESA ESPECIALIZADA EM ENGENHARIA PARA EXECUÇÃO DE SERVIÇOS DE DRENAGEM, TERRAPLENAGEM E PAVIMENTAÇÃO ASFÁLTICA, LOCALIZADA NA AV. MAÇARANDUBA, RUA DEUSANIRA, AV. BRAGANÇA, RUA GRAVIOLA, RUA JAMBEIRO, RUA ÓBIDOS, RUA SÃO MIGUEL E RUA SEBERI  NA CIDADE DE TUCUMÃ NO ESTADO DO PARÁ</v>
      </c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9"/>
    </row>
    <row r="4" spans="1:16" ht="17.25">
      <c r="A4" s="388"/>
      <c r="B4" s="382"/>
      <c r="C4" s="382"/>
      <c r="D4" s="389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7"/>
    </row>
    <row r="5" spans="1:16" ht="26.25">
      <c r="A5" s="388"/>
      <c r="B5" s="382"/>
      <c r="C5" s="382"/>
      <c r="D5" s="390" t="s">
        <v>647</v>
      </c>
      <c r="E5" s="382"/>
      <c r="F5" s="382"/>
      <c r="G5" s="382"/>
      <c r="H5" s="382"/>
      <c r="I5" s="382"/>
      <c r="J5" s="382"/>
      <c r="K5" s="382"/>
      <c r="L5" s="382"/>
      <c r="M5" s="382"/>
      <c r="N5" s="382"/>
      <c r="O5" s="382"/>
      <c r="P5" s="387"/>
    </row>
    <row r="6" spans="1:16">
      <c r="A6" s="391"/>
      <c r="B6" s="392"/>
      <c r="C6" s="392"/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  <c r="O6" s="392"/>
      <c r="P6" s="393"/>
    </row>
    <row r="7" spans="1:16">
      <c r="A7" s="382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2"/>
      <c r="M7" s="382"/>
      <c r="N7" s="382"/>
      <c r="O7" s="382"/>
      <c r="P7" s="382"/>
    </row>
    <row r="8" spans="1:16">
      <c r="A8" s="665" t="s">
        <v>648</v>
      </c>
      <c r="B8" s="665" t="s">
        <v>227</v>
      </c>
      <c r="C8" s="665" t="s">
        <v>228</v>
      </c>
      <c r="D8" s="665" t="s">
        <v>229</v>
      </c>
      <c r="E8" s="665" t="s">
        <v>226</v>
      </c>
      <c r="F8" s="665" t="s">
        <v>231</v>
      </c>
      <c r="G8" s="651" t="s">
        <v>232</v>
      </c>
      <c r="H8" s="665"/>
      <c r="I8" s="651" t="s">
        <v>233</v>
      </c>
      <c r="J8" s="665"/>
      <c r="K8" s="651" t="s">
        <v>649</v>
      </c>
      <c r="L8" s="665"/>
      <c r="M8" s="665"/>
      <c r="N8" s="665" t="s">
        <v>475</v>
      </c>
      <c r="O8" s="665" t="s">
        <v>650</v>
      </c>
      <c r="P8" s="665" t="s">
        <v>651</v>
      </c>
    </row>
    <row r="9" spans="1:16">
      <c r="A9" s="665"/>
      <c r="B9" s="665"/>
      <c r="C9" s="665"/>
      <c r="D9" s="652"/>
      <c r="E9" s="665"/>
      <c r="F9" s="665"/>
      <c r="G9" s="419" t="s">
        <v>652</v>
      </c>
      <c r="H9" s="419" t="s">
        <v>653</v>
      </c>
      <c r="I9" s="420" t="s">
        <v>652</v>
      </c>
      <c r="J9" s="420" t="s">
        <v>653</v>
      </c>
      <c r="K9" s="420" t="s">
        <v>652</v>
      </c>
      <c r="L9" s="420" t="s">
        <v>653</v>
      </c>
      <c r="M9" s="420" t="s">
        <v>654</v>
      </c>
      <c r="N9" s="666"/>
      <c r="O9" s="666" t="s">
        <v>240</v>
      </c>
      <c r="P9" s="665"/>
    </row>
    <row r="10" spans="1:16" ht="45">
      <c r="A10" s="488">
        <v>1</v>
      </c>
      <c r="B10" s="488" t="s">
        <v>95</v>
      </c>
      <c r="C10" s="488">
        <v>1518</v>
      </c>
      <c r="D10" s="498" t="s">
        <v>655</v>
      </c>
      <c r="E10" s="488" t="s">
        <v>284</v>
      </c>
      <c r="F10" s="488" t="s">
        <v>656</v>
      </c>
      <c r="G10" s="488">
        <v>2292.8052600000001</v>
      </c>
      <c r="H10" s="488"/>
      <c r="I10" s="493">
        <v>960</v>
      </c>
      <c r="J10" s="493"/>
      <c r="K10" s="493">
        <v>2201093.0499999998</v>
      </c>
      <c r="L10" s="493"/>
      <c r="M10" s="493">
        <v>2201093.0499999998</v>
      </c>
      <c r="N10" s="496">
        <v>0.36919999999999997</v>
      </c>
      <c r="O10" s="496">
        <v>0.36919999999999997</v>
      </c>
      <c r="P10" s="489" t="s">
        <v>510</v>
      </c>
    </row>
    <row r="11" spans="1:16" ht="15">
      <c r="A11" s="487">
        <v>2</v>
      </c>
      <c r="B11" s="487" t="s">
        <v>95</v>
      </c>
      <c r="C11" s="487">
        <v>4221</v>
      </c>
      <c r="D11" s="499" t="s">
        <v>657</v>
      </c>
      <c r="E11" s="487" t="s">
        <v>284</v>
      </c>
      <c r="F11" s="487" t="s">
        <v>13</v>
      </c>
      <c r="G11" s="487">
        <v>76224.775710000002</v>
      </c>
      <c r="H11" s="487"/>
      <c r="I11" s="494">
        <v>6.34</v>
      </c>
      <c r="J11" s="494"/>
      <c r="K11" s="494">
        <v>483265.08</v>
      </c>
      <c r="L11" s="494"/>
      <c r="M11" s="494">
        <v>483265.08</v>
      </c>
      <c r="N11" s="497">
        <v>8.1100000000000005E-2</v>
      </c>
      <c r="O11" s="497">
        <v>0.45019999999999999</v>
      </c>
      <c r="P11" s="489" t="s">
        <v>510</v>
      </c>
    </row>
    <row r="12" spans="1:16" ht="30">
      <c r="A12" s="488">
        <v>3</v>
      </c>
      <c r="B12" s="488" t="s">
        <v>95</v>
      </c>
      <c r="C12" s="488">
        <v>7750</v>
      </c>
      <c r="D12" s="498" t="s">
        <v>658</v>
      </c>
      <c r="E12" s="488" t="s">
        <v>284</v>
      </c>
      <c r="F12" s="488" t="s">
        <v>107</v>
      </c>
      <c r="G12" s="488">
        <v>1097.6092000000001</v>
      </c>
      <c r="H12" s="488"/>
      <c r="I12" s="493">
        <v>349.41</v>
      </c>
      <c r="J12" s="493"/>
      <c r="K12" s="493">
        <v>383515.63</v>
      </c>
      <c r="L12" s="493"/>
      <c r="M12" s="493">
        <v>383515.63</v>
      </c>
      <c r="N12" s="496">
        <v>6.4299999999999996E-2</v>
      </c>
      <c r="O12" s="496">
        <v>0.51449999999999996</v>
      </c>
      <c r="P12" s="489" t="s">
        <v>510</v>
      </c>
    </row>
    <row r="13" spans="1:16" ht="15">
      <c r="A13" s="487">
        <v>4</v>
      </c>
      <c r="B13" s="487" t="s">
        <v>95</v>
      </c>
      <c r="C13" s="487">
        <v>1379</v>
      </c>
      <c r="D13" s="499" t="s">
        <v>659</v>
      </c>
      <c r="E13" s="487" t="s">
        <v>284</v>
      </c>
      <c r="F13" s="487" t="s">
        <v>285</v>
      </c>
      <c r="G13" s="487">
        <v>232646.48540000001</v>
      </c>
      <c r="H13" s="487"/>
      <c r="I13" s="494">
        <v>1.1399999999999999</v>
      </c>
      <c r="J13" s="494"/>
      <c r="K13" s="494">
        <v>265216.99</v>
      </c>
      <c r="L13" s="494"/>
      <c r="M13" s="494">
        <v>265216.99</v>
      </c>
      <c r="N13" s="497">
        <v>4.4499999999999998E-2</v>
      </c>
      <c r="O13" s="497">
        <v>0.55900000000000005</v>
      </c>
      <c r="P13" s="489" t="s">
        <v>510</v>
      </c>
    </row>
    <row r="14" spans="1:16" ht="45">
      <c r="A14" s="488">
        <v>5</v>
      </c>
      <c r="B14" s="488" t="s">
        <v>95</v>
      </c>
      <c r="C14" s="488">
        <v>37758</v>
      </c>
      <c r="D14" s="498" t="s">
        <v>660</v>
      </c>
      <c r="E14" s="488" t="s">
        <v>256</v>
      </c>
      <c r="F14" s="488" t="s">
        <v>262</v>
      </c>
      <c r="G14" s="488">
        <v>0.3585333</v>
      </c>
      <c r="H14" s="488"/>
      <c r="I14" s="493">
        <v>708162.14</v>
      </c>
      <c r="J14" s="493"/>
      <c r="K14" s="493">
        <v>253899.71</v>
      </c>
      <c r="L14" s="493"/>
      <c r="M14" s="493">
        <v>253899.71</v>
      </c>
      <c r="N14" s="496">
        <v>4.2599999999999999E-2</v>
      </c>
      <c r="O14" s="496">
        <v>0.60160000000000002</v>
      </c>
      <c r="P14" s="489" t="s">
        <v>510</v>
      </c>
    </row>
    <row r="15" spans="1:16" ht="45">
      <c r="A15" s="487">
        <v>6</v>
      </c>
      <c r="B15" s="487" t="s">
        <v>95</v>
      </c>
      <c r="C15" s="487">
        <v>34492</v>
      </c>
      <c r="D15" s="499" t="s">
        <v>661</v>
      </c>
      <c r="E15" s="487" t="s">
        <v>284</v>
      </c>
      <c r="F15" s="487" t="s">
        <v>114</v>
      </c>
      <c r="G15" s="487">
        <v>373.16705899999999</v>
      </c>
      <c r="H15" s="487"/>
      <c r="I15" s="494">
        <v>660</v>
      </c>
      <c r="J15" s="494"/>
      <c r="K15" s="494">
        <v>246290.26</v>
      </c>
      <c r="L15" s="494"/>
      <c r="M15" s="494">
        <v>246290.26</v>
      </c>
      <c r="N15" s="497">
        <v>4.1300000000000003E-2</v>
      </c>
      <c r="O15" s="497">
        <v>0.64290000000000003</v>
      </c>
      <c r="P15" s="489" t="s">
        <v>510</v>
      </c>
    </row>
    <row r="16" spans="1:16" ht="45">
      <c r="A16" s="488">
        <v>7</v>
      </c>
      <c r="B16" s="488" t="s">
        <v>95</v>
      </c>
      <c r="C16" s="488">
        <v>7156</v>
      </c>
      <c r="D16" s="498" t="s">
        <v>662</v>
      </c>
      <c r="E16" s="488" t="s">
        <v>284</v>
      </c>
      <c r="F16" s="488" t="s">
        <v>97</v>
      </c>
      <c r="G16" s="488">
        <v>5999.6351999999997</v>
      </c>
      <c r="H16" s="488"/>
      <c r="I16" s="493">
        <v>27.49</v>
      </c>
      <c r="J16" s="493"/>
      <c r="K16" s="493">
        <v>164929.97</v>
      </c>
      <c r="L16" s="493"/>
      <c r="M16" s="493">
        <v>164929.97</v>
      </c>
      <c r="N16" s="496">
        <v>2.7699999999999999E-2</v>
      </c>
      <c r="O16" s="496">
        <v>0.67059999999999997</v>
      </c>
      <c r="P16" s="489" t="s">
        <v>510</v>
      </c>
    </row>
    <row r="17" spans="1:16" ht="15">
      <c r="A17" s="487">
        <v>8</v>
      </c>
      <c r="B17" s="487" t="s">
        <v>95</v>
      </c>
      <c r="C17" s="487">
        <v>6111</v>
      </c>
      <c r="D17" s="499" t="s">
        <v>663</v>
      </c>
      <c r="E17" s="487" t="s">
        <v>664</v>
      </c>
      <c r="F17" s="487" t="s">
        <v>244</v>
      </c>
      <c r="G17" s="487">
        <v>13000.42571</v>
      </c>
      <c r="H17" s="487"/>
      <c r="I17" s="494">
        <v>11.87</v>
      </c>
      <c r="J17" s="494"/>
      <c r="K17" s="494">
        <v>154315.04999999999</v>
      </c>
      <c r="L17" s="494"/>
      <c r="M17" s="494">
        <v>154315.04999999999</v>
      </c>
      <c r="N17" s="497">
        <v>2.5899999999999999E-2</v>
      </c>
      <c r="O17" s="497">
        <v>0.69650000000000001</v>
      </c>
      <c r="P17" s="489" t="s">
        <v>510</v>
      </c>
    </row>
    <row r="18" spans="1:16" ht="15">
      <c r="A18" s="488">
        <v>9</v>
      </c>
      <c r="B18" s="488" t="s">
        <v>95</v>
      </c>
      <c r="C18" s="488">
        <v>37370</v>
      </c>
      <c r="D18" s="498" t="s">
        <v>665</v>
      </c>
      <c r="E18" s="488" t="s">
        <v>284</v>
      </c>
      <c r="F18" s="488" t="s">
        <v>244</v>
      </c>
      <c r="G18" s="488">
        <v>37210.168680000002</v>
      </c>
      <c r="H18" s="488"/>
      <c r="I18" s="493">
        <v>3.47</v>
      </c>
      <c r="J18" s="493"/>
      <c r="K18" s="493">
        <v>129119.29</v>
      </c>
      <c r="L18" s="493"/>
      <c r="M18" s="493">
        <v>129119.29</v>
      </c>
      <c r="N18" s="496">
        <v>2.1700000000000001E-2</v>
      </c>
      <c r="O18" s="496">
        <v>0.71809999999999996</v>
      </c>
      <c r="P18" s="489" t="s">
        <v>510</v>
      </c>
    </row>
    <row r="19" spans="1:16" ht="15">
      <c r="A19" s="487">
        <v>10</v>
      </c>
      <c r="B19" s="487" t="s">
        <v>237</v>
      </c>
      <c r="C19" s="487" t="s">
        <v>282</v>
      </c>
      <c r="D19" s="499" t="s">
        <v>283</v>
      </c>
      <c r="E19" s="487" t="s">
        <v>284</v>
      </c>
      <c r="F19" s="487" t="s">
        <v>285</v>
      </c>
      <c r="G19" s="487">
        <v>21538.799999999999</v>
      </c>
      <c r="H19" s="487"/>
      <c r="I19" s="494">
        <v>5.84</v>
      </c>
      <c r="J19" s="494"/>
      <c r="K19" s="494">
        <v>125851.21</v>
      </c>
      <c r="L19" s="494"/>
      <c r="M19" s="494">
        <v>125851.21</v>
      </c>
      <c r="N19" s="497">
        <v>2.1100000000000001E-2</v>
      </c>
      <c r="O19" s="497">
        <v>0.73919999999999997</v>
      </c>
      <c r="P19" s="489" t="s">
        <v>510</v>
      </c>
    </row>
    <row r="20" spans="1:16" ht="30">
      <c r="A20" s="488">
        <v>11</v>
      </c>
      <c r="B20" s="488" t="s">
        <v>95</v>
      </c>
      <c r="C20" s="488">
        <v>10685</v>
      </c>
      <c r="D20" s="498" t="s">
        <v>666</v>
      </c>
      <c r="E20" s="488" t="s">
        <v>256</v>
      </c>
      <c r="F20" s="488" t="s">
        <v>262</v>
      </c>
      <c r="G20" s="488">
        <v>0.1224959</v>
      </c>
      <c r="H20" s="488"/>
      <c r="I20" s="493">
        <v>834500</v>
      </c>
      <c r="J20" s="493"/>
      <c r="K20" s="493">
        <v>102222.83</v>
      </c>
      <c r="L20" s="493"/>
      <c r="M20" s="493">
        <v>102222.83</v>
      </c>
      <c r="N20" s="496">
        <v>1.7100000000000001E-2</v>
      </c>
      <c r="O20" s="496">
        <v>0.75639999999999996</v>
      </c>
      <c r="P20" s="489" t="s">
        <v>510</v>
      </c>
    </row>
    <row r="21" spans="1:16" ht="15">
      <c r="A21" s="487">
        <v>12</v>
      </c>
      <c r="B21" s="487" t="s">
        <v>95</v>
      </c>
      <c r="C21" s="487">
        <v>4750</v>
      </c>
      <c r="D21" s="499" t="s">
        <v>667</v>
      </c>
      <c r="E21" s="487" t="s">
        <v>664</v>
      </c>
      <c r="F21" s="487" t="s">
        <v>244</v>
      </c>
      <c r="G21" s="487">
        <v>5235.6734850000003</v>
      </c>
      <c r="H21" s="487"/>
      <c r="I21" s="494">
        <v>16.41</v>
      </c>
      <c r="J21" s="494"/>
      <c r="K21" s="494">
        <v>85917.4</v>
      </c>
      <c r="L21" s="494"/>
      <c r="M21" s="494">
        <v>85917.4</v>
      </c>
      <c r="N21" s="497">
        <v>1.44E-2</v>
      </c>
      <c r="O21" s="497">
        <v>0.77080000000000004</v>
      </c>
      <c r="P21" s="489" t="s">
        <v>510</v>
      </c>
    </row>
    <row r="22" spans="1:16" ht="30">
      <c r="A22" s="488">
        <v>13</v>
      </c>
      <c r="B22" s="488" t="s">
        <v>95</v>
      </c>
      <c r="C22" s="488">
        <v>370</v>
      </c>
      <c r="D22" s="498" t="s">
        <v>668</v>
      </c>
      <c r="E22" s="488" t="s">
        <v>284</v>
      </c>
      <c r="F22" s="488" t="s">
        <v>114</v>
      </c>
      <c r="G22" s="488">
        <v>892.11659640000005</v>
      </c>
      <c r="H22" s="488"/>
      <c r="I22" s="493">
        <v>95</v>
      </c>
      <c r="J22" s="493"/>
      <c r="K22" s="493">
        <v>84751.08</v>
      </c>
      <c r="L22" s="493"/>
      <c r="M22" s="493">
        <v>84751.08</v>
      </c>
      <c r="N22" s="496">
        <v>1.4200000000000001E-2</v>
      </c>
      <c r="O22" s="496">
        <v>0.78500000000000003</v>
      </c>
      <c r="P22" s="489" t="s">
        <v>510</v>
      </c>
    </row>
    <row r="23" spans="1:16" ht="30">
      <c r="A23" s="487">
        <v>14</v>
      </c>
      <c r="B23" s="487" t="s">
        <v>95</v>
      </c>
      <c r="C23" s="487">
        <v>4721</v>
      </c>
      <c r="D23" s="499" t="s">
        <v>669</v>
      </c>
      <c r="E23" s="487" t="s">
        <v>284</v>
      </c>
      <c r="F23" s="487" t="s">
        <v>114</v>
      </c>
      <c r="G23" s="487">
        <v>349.5943322</v>
      </c>
      <c r="H23" s="487"/>
      <c r="I23" s="494">
        <v>213.87</v>
      </c>
      <c r="J23" s="494"/>
      <c r="K23" s="494">
        <v>74767.740000000005</v>
      </c>
      <c r="L23" s="494"/>
      <c r="M23" s="494">
        <v>74767.740000000005</v>
      </c>
      <c r="N23" s="497">
        <v>1.2500000000000001E-2</v>
      </c>
      <c r="O23" s="497">
        <v>0.79749999999999999</v>
      </c>
      <c r="P23" s="489" t="s">
        <v>510</v>
      </c>
    </row>
    <row r="24" spans="1:16" ht="15">
      <c r="A24" s="488">
        <v>15</v>
      </c>
      <c r="B24" s="488" t="s">
        <v>95</v>
      </c>
      <c r="C24" s="488">
        <v>2707</v>
      </c>
      <c r="D24" s="498" t="s">
        <v>670</v>
      </c>
      <c r="E24" s="488" t="s">
        <v>664</v>
      </c>
      <c r="F24" s="488" t="s">
        <v>244</v>
      </c>
      <c r="G24" s="488">
        <v>671.21339999999998</v>
      </c>
      <c r="H24" s="488"/>
      <c r="I24" s="493">
        <v>105.28</v>
      </c>
      <c r="J24" s="493"/>
      <c r="K24" s="493">
        <v>70665.350000000006</v>
      </c>
      <c r="L24" s="493"/>
      <c r="M24" s="493">
        <v>70665.350000000006</v>
      </c>
      <c r="N24" s="496">
        <v>1.1900000000000001E-2</v>
      </c>
      <c r="O24" s="496">
        <v>0.80940000000000001</v>
      </c>
      <c r="P24" s="490" t="s">
        <v>533</v>
      </c>
    </row>
    <row r="25" spans="1:16" ht="15">
      <c r="A25" s="487">
        <v>16</v>
      </c>
      <c r="B25" s="487" t="s">
        <v>95</v>
      </c>
      <c r="C25" s="487">
        <v>20020</v>
      </c>
      <c r="D25" s="499" t="s">
        <v>671</v>
      </c>
      <c r="E25" s="487" t="s">
        <v>664</v>
      </c>
      <c r="F25" s="487" t="s">
        <v>244</v>
      </c>
      <c r="G25" s="487">
        <v>3360.8947699999999</v>
      </c>
      <c r="H25" s="487"/>
      <c r="I25" s="494">
        <v>18.07</v>
      </c>
      <c r="J25" s="494"/>
      <c r="K25" s="494">
        <v>60731.37</v>
      </c>
      <c r="L25" s="494"/>
      <c r="M25" s="494">
        <v>60731.37</v>
      </c>
      <c r="N25" s="497">
        <v>1.0200000000000001E-2</v>
      </c>
      <c r="O25" s="497">
        <v>0.8196</v>
      </c>
      <c r="P25" s="490" t="s">
        <v>533</v>
      </c>
    </row>
    <row r="26" spans="1:16" ht="30">
      <c r="A26" s="488">
        <v>17</v>
      </c>
      <c r="B26" s="488" t="s">
        <v>237</v>
      </c>
      <c r="C26" s="488">
        <v>41903</v>
      </c>
      <c r="D26" s="498" t="s">
        <v>287</v>
      </c>
      <c r="E26" s="488" t="s">
        <v>284</v>
      </c>
      <c r="F26" s="488" t="s">
        <v>285</v>
      </c>
      <c r="G26" s="488">
        <v>8077.05</v>
      </c>
      <c r="H26" s="488"/>
      <c r="I26" s="493">
        <v>6.51</v>
      </c>
      <c r="J26" s="493"/>
      <c r="K26" s="493">
        <v>52589.67</v>
      </c>
      <c r="L26" s="493"/>
      <c r="M26" s="493">
        <v>52589.67</v>
      </c>
      <c r="N26" s="496">
        <v>8.8000000000000005E-3</v>
      </c>
      <c r="O26" s="496">
        <v>0.82840000000000003</v>
      </c>
      <c r="P26" s="490" t="s">
        <v>533</v>
      </c>
    </row>
    <row r="27" spans="1:16" ht="15">
      <c r="A27" s="487">
        <v>18</v>
      </c>
      <c r="B27" s="487" t="s">
        <v>95</v>
      </c>
      <c r="C27" s="487">
        <v>37372</v>
      </c>
      <c r="D27" s="499" t="s">
        <v>672</v>
      </c>
      <c r="E27" s="487" t="s">
        <v>284</v>
      </c>
      <c r="F27" s="487" t="s">
        <v>244</v>
      </c>
      <c r="G27" s="487">
        <v>38580.625319999999</v>
      </c>
      <c r="H27" s="487"/>
      <c r="I27" s="494">
        <v>1.34</v>
      </c>
      <c r="J27" s="494"/>
      <c r="K27" s="494">
        <v>51698.04</v>
      </c>
      <c r="L27" s="494"/>
      <c r="M27" s="494">
        <v>51698.04</v>
      </c>
      <c r="N27" s="497">
        <v>8.6999999999999994E-3</v>
      </c>
      <c r="O27" s="497">
        <v>0.83709999999999996</v>
      </c>
      <c r="P27" s="490" t="s">
        <v>533</v>
      </c>
    </row>
    <row r="28" spans="1:16" ht="30">
      <c r="A28" s="488">
        <v>19</v>
      </c>
      <c r="B28" s="488" t="s">
        <v>95</v>
      </c>
      <c r="C28" s="488">
        <v>4090</v>
      </c>
      <c r="D28" s="498" t="s">
        <v>673</v>
      </c>
      <c r="E28" s="488" t="s">
        <v>256</v>
      </c>
      <c r="F28" s="488" t="s">
        <v>262</v>
      </c>
      <c r="G28" s="488">
        <v>3.4557600000000001E-2</v>
      </c>
      <c r="H28" s="488"/>
      <c r="I28" s="493">
        <v>1307000</v>
      </c>
      <c r="J28" s="493"/>
      <c r="K28" s="493">
        <v>45166.78</v>
      </c>
      <c r="L28" s="493"/>
      <c r="M28" s="493">
        <v>45166.78</v>
      </c>
      <c r="N28" s="496">
        <v>7.6E-3</v>
      </c>
      <c r="O28" s="496">
        <v>0.84460000000000002</v>
      </c>
      <c r="P28" s="490" t="s">
        <v>533</v>
      </c>
    </row>
    <row r="29" spans="1:16" ht="45">
      <c r="A29" s="487">
        <v>20</v>
      </c>
      <c r="B29" s="487" t="s">
        <v>95</v>
      </c>
      <c r="C29" s="487">
        <v>4262</v>
      </c>
      <c r="D29" s="499" t="s">
        <v>674</v>
      </c>
      <c r="E29" s="487" t="s">
        <v>256</v>
      </c>
      <c r="F29" s="487" t="s">
        <v>262</v>
      </c>
      <c r="G29" s="487">
        <v>5.1793800000000001E-2</v>
      </c>
      <c r="H29" s="487"/>
      <c r="I29" s="494">
        <v>830000</v>
      </c>
      <c r="J29" s="494"/>
      <c r="K29" s="494">
        <v>42988.85</v>
      </c>
      <c r="L29" s="494"/>
      <c r="M29" s="494">
        <v>42988.85</v>
      </c>
      <c r="N29" s="497">
        <v>7.1999999999999998E-3</v>
      </c>
      <c r="O29" s="497">
        <v>0.8518</v>
      </c>
      <c r="P29" s="490" t="s">
        <v>533</v>
      </c>
    </row>
    <row r="30" spans="1:16" ht="45">
      <c r="A30" s="488">
        <v>21</v>
      </c>
      <c r="B30" s="488" t="s">
        <v>95</v>
      </c>
      <c r="C30" s="488">
        <v>14511</v>
      </c>
      <c r="D30" s="498" t="s">
        <v>675</v>
      </c>
      <c r="E30" s="488" t="s">
        <v>256</v>
      </c>
      <c r="F30" s="488" t="s">
        <v>262</v>
      </c>
      <c r="G30" s="488">
        <v>4.04377E-2</v>
      </c>
      <c r="H30" s="488"/>
      <c r="I30" s="493">
        <v>997825.41</v>
      </c>
      <c r="J30" s="493"/>
      <c r="K30" s="493">
        <v>40349.760000000002</v>
      </c>
      <c r="L30" s="493"/>
      <c r="M30" s="493">
        <v>40349.760000000002</v>
      </c>
      <c r="N30" s="496">
        <v>6.7999999999999996E-3</v>
      </c>
      <c r="O30" s="496">
        <v>0.85860000000000003</v>
      </c>
      <c r="P30" s="490" t="s">
        <v>533</v>
      </c>
    </row>
    <row r="31" spans="1:16" ht="15">
      <c r="A31" s="487">
        <v>22</v>
      </c>
      <c r="B31" s="487" t="s">
        <v>95</v>
      </c>
      <c r="C31" s="487">
        <v>4759</v>
      </c>
      <c r="D31" s="499" t="s">
        <v>676</v>
      </c>
      <c r="E31" s="487" t="s">
        <v>664</v>
      </c>
      <c r="F31" s="487" t="s">
        <v>244</v>
      </c>
      <c r="G31" s="487">
        <v>2647.7669569999998</v>
      </c>
      <c r="H31" s="487"/>
      <c r="I31" s="494">
        <v>14.85</v>
      </c>
      <c r="J31" s="494"/>
      <c r="K31" s="494">
        <v>39319.339999999997</v>
      </c>
      <c r="L31" s="494"/>
      <c r="M31" s="494">
        <v>39319.339999999997</v>
      </c>
      <c r="N31" s="497">
        <v>6.6E-3</v>
      </c>
      <c r="O31" s="497">
        <v>0.86519999999999997</v>
      </c>
      <c r="P31" s="490" t="s">
        <v>533</v>
      </c>
    </row>
    <row r="32" spans="1:16" ht="30">
      <c r="A32" s="488">
        <v>23</v>
      </c>
      <c r="B32" s="488" t="s">
        <v>95</v>
      </c>
      <c r="C32" s="488">
        <v>7753</v>
      </c>
      <c r="D32" s="498" t="s">
        <v>677</v>
      </c>
      <c r="E32" s="488" t="s">
        <v>284</v>
      </c>
      <c r="F32" s="488" t="s">
        <v>107</v>
      </c>
      <c r="G32" s="488">
        <v>91.052000000000007</v>
      </c>
      <c r="H32" s="488"/>
      <c r="I32" s="493">
        <v>409.41</v>
      </c>
      <c r="J32" s="493"/>
      <c r="K32" s="493">
        <v>37277.599999999999</v>
      </c>
      <c r="L32" s="493"/>
      <c r="M32" s="493">
        <v>37277.599999999999</v>
      </c>
      <c r="N32" s="496">
        <v>6.3E-3</v>
      </c>
      <c r="O32" s="496">
        <v>0.87150000000000005</v>
      </c>
      <c r="P32" s="490" t="s">
        <v>533</v>
      </c>
    </row>
    <row r="33" spans="1:16" ht="15">
      <c r="A33" s="487">
        <v>24</v>
      </c>
      <c r="B33" s="487" t="s">
        <v>95</v>
      </c>
      <c r="C33" s="487">
        <v>37371</v>
      </c>
      <c r="D33" s="499" t="s">
        <v>678</v>
      </c>
      <c r="E33" s="487" t="s">
        <v>679</v>
      </c>
      <c r="F33" s="487" t="s">
        <v>244</v>
      </c>
      <c r="G33" s="487">
        <v>37210.168680000002</v>
      </c>
      <c r="H33" s="487"/>
      <c r="I33" s="494">
        <v>1</v>
      </c>
      <c r="J33" s="494"/>
      <c r="K33" s="494">
        <v>37210.17</v>
      </c>
      <c r="L33" s="494"/>
      <c r="M33" s="494">
        <v>37210.17</v>
      </c>
      <c r="N33" s="497">
        <v>6.1999999999999998E-3</v>
      </c>
      <c r="O33" s="497">
        <v>0.87770000000000004</v>
      </c>
      <c r="P33" s="490" t="s">
        <v>533</v>
      </c>
    </row>
    <row r="34" spans="1:16" ht="30">
      <c r="A34" s="488">
        <v>25</v>
      </c>
      <c r="B34" s="488" t="s">
        <v>95</v>
      </c>
      <c r="C34" s="488">
        <v>37734</v>
      </c>
      <c r="D34" s="498" t="s">
        <v>680</v>
      </c>
      <c r="E34" s="488" t="s">
        <v>256</v>
      </c>
      <c r="F34" s="488" t="s">
        <v>262</v>
      </c>
      <c r="G34" s="488">
        <v>0.45263429999999999</v>
      </c>
      <c r="H34" s="488"/>
      <c r="I34" s="493">
        <v>73298.23</v>
      </c>
      <c r="J34" s="493"/>
      <c r="K34" s="493">
        <v>33177.29</v>
      </c>
      <c r="L34" s="493"/>
      <c r="M34" s="493">
        <v>33177.29</v>
      </c>
      <c r="N34" s="496">
        <v>5.5999999999999999E-3</v>
      </c>
      <c r="O34" s="496">
        <v>0.88329999999999997</v>
      </c>
      <c r="P34" s="490" t="s">
        <v>533</v>
      </c>
    </row>
    <row r="35" spans="1:16" ht="45">
      <c r="A35" s="487">
        <v>26</v>
      </c>
      <c r="B35" s="487" t="s">
        <v>95</v>
      </c>
      <c r="C35" s="487">
        <v>14513</v>
      </c>
      <c r="D35" s="499" t="s">
        <v>681</v>
      </c>
      <c r="E35" s="487" t="s">
        <v>256</v>
      </c>
      <c r="F35" s="487" t="s">
        <v>262</v>
      </c>
      <c r="G35" s="487">
        <v>5.0484800000000003E-2</v>
      </c>
      <c r="H35" s="487"/>
      <c r="I35" s="494">
        <v>625341.67000000004</v>
      </c>
      <c r="J35" s="494"/>
      <c r="K35" s="494">
        <v>31570.25</v>
      </c>
      <c r="L35" s="494"/>
      <c r="M35" s="494">
        <v>31570.25</v>
      </c>
      <c r="N35" s="497">
        <v>5.3E-3</v>
      </c>
      <c r="O35" s="497">
        <v>0.88859999999999995</v>
      </c>
      <c r="P35" s="490" t="s">
        <v>533</v>
      </c>
    </row>
    <row r="36" spans="1:16" ht="15">
      <c r="A36" s="488">
        <v>27</v>
      </c>
      <c r="B36" s="488" t="s">
        <v>95</v>
      </c>
      <c r="C36" s="488">
        <v>4234</v>
      </c>
      <c r="D36" s="498" t="s">
        <v>682</v>
      </c>
      <c r="E36" s="488" t="s">
        <v>664</v>
      </c>
      <c r="F36" s="488" t="s">
        <v>244</v>
      </c>
      <c r="G36" s="488">
        <v>1608.5478230000001</v>
      </c>
      <c r="H36" s="488"/>
      <c r="I36" s="493">
        <v>19.100000000000001</v>
      </c>
      <c r="J36" s="493"/>
      <c r="K36" s="493">
        <v>30723.26</v>
      </c>
      <c r="L36" s="493"/>
      <c r="M36" s="493">
        <v>30723.26</v>
      </c>
      <c r="N36" s="496">
        <v>5.1999999999999998E-3</v>
      </c>
      <c r="O36" s="496">
        <v>0.89370000000000005</v>
      </c>
      <c r="P36" s="490" t="s">
        <v>533</v>
      </c>
    </row>
    <row r="37" spans="1:16" ht="30">
      <c r="A37" s="487">
        <v>28</v>
      </c>
      <c r="B37" s="487" t="s">
        <v>95</v>
      </c>
      <c r="C37" s="487">
        <v>7745</v>
      </c>
      <c r="D37" s="499" t="s">
        <v>683</v>
      </c>
      <c r="E37" s="487" t="s">
        <v>284</v>
      </c>
      <c r="F37" s="487" t="s">
        <v>107</v>
      </c>
      <c r="G37" s="487">
        <v>282.2303</v>
      </c>
      <c r="H37" s="487"/>
      <c r="I37" s="494">
        <v>108.52</v>
      </c>
      <c r="J37" s="494"/>
      <c r="K37" s="494">
        <v>30627.63</v>
      </c>
      <c r="L37" s="494"/>
      <c r="M37" s="494">
        <v>30627.63</v>
      </c>
      <c r="N37" s="497">
        <v>5.1000000000000004E-3</v>
      </c>
      <c r="O37" s="497">
        <v>0.89880000000000004</v>
      </c>
      <c r="P37" s="490" t="s">
        <v>533</v>
      </c>
    </row>
    <row r="38" spans="1:16" ht="15">
      <c r="A38" s="488">
        <v>29</v>
      </c>
      <c r="B38" s="488" t="s">
        <v>95</v>
      </c>
      <c r="C38" s="488">
        <v>4230</v>
      </c>
      <c r="D38" s="498" t="s">
        <v>684</v>
      </c>
      <c r="E38" s="488" t="s">
        <v>664</v>
      </c>
      <c r="F38" s="488" t="s">
        <v>244</v>
      </c>
      <c r="G38" s="488">
        <v>1737.0398279999999</v>
      </c>
      <c r="H38" s="488"/>
      <c r="I38" s="493">
        <v>17.59</v>
      </c>
      <c r="J38" s="493"/>
      <c r="K38" s="493">
        <v>30554.53</v>
      </c>
      <c r="L38" s="493"/>
      <c r="M38" s="493">
        <v>30554.53</v>
      </c>
      <c r="N38" s="496">
        <v>5.1000000000000004E-3</v>
      </c>
      <c r="O38" s="496">
        <v>0.90400000000000003</v>
      </c>
      <c r="P38" s="491" t="s">
        <v>546</v>
      </c>
    </row>
    <row r="39" spans="1:16" ht="30">
      <c r="A39" s="487">
        <v>30</v>
      </c>
      <c r="B39" s="487" t="s">
        <v>95</v>
      </c>
      <c r="C39" s="487">
        <v>14525</v>
      </c>
      <c r="D39" s="499" t="s">
        <v>685</v>
      </c>
      <c r="E39" s="487" t="s">
        <v>256</v>
      </c>
      <c r="F39" s="487" t="s">
        <v>262</v>
      </c>
      <c r="G39" s="487">
        <v>2.7256300000000001E-2</v>
      </c>
      <c r="H39" s="487"/>
      <c r="I39" s="494">
        <v>928381.25</v>
      </c>
      <c r="J39" s="494"/>
      <c r="K39" s="494">
        <v>25304.240000000002</v>
      </c>
      <c r="L39" s="494"/>
      <c r="M39" s="494">
        <v>25304.240000000002</v>
      </c>
      <c r="N39" s="497">
        <v>4.1999999999999997E-3</v>
      </c>
      <c r="O39" s="497">
        <v>0.90820000000000001</v>
      </c>
      <c r="P39" s="491" t="s">
        <v>546</v>
      </c>
    </row>
    <row r="40" spans="1:16" ht="15">
      <c r="A40" s="488">
        <v>31</v>
      </c>
      <c r="B40" s="488" t="s">
        <v>95</v>
      </c>
      <c r="C40" s="488">
        <v>4238</v>
      </c>
      <c r="D40" s="498" t="s">
        <v>686</v>
      </c>
      <c r="E40" s="488" t="s">
        <v>664</v>
      </c>
      <c r="F40" s="488" t="s">
        <v>244</v>
      </c>
      <c r="G40" s="488">
        <v>1254.0486390000001</v>
      </c>
      <c r="H40" s="488"/>
      <c r="I40" s="493">
        <v>16.75</v>
      </c>
      <c r="J40" s="493"/>
      <c r="K40" s="493">
        <v>21005.31</v>
      </c>
      <c r="L40" s="493"/>
      <c r="M40" s="493">
        <v>21005.31</v>
      </c>
      <c r="N40" s="496">
        <v>3.5000000000000001E-3</v>
      </c>
      <c r="O40" s="496">
        <v>0.91169999999999995</v>
      </c>
      <c r="P40" s="491" t="s">
        <v>546</v>
      </c>
    </row>
    <row r="41" spans="1:16" ht="30">
      <c r="A41" s="487">
        <v>32</v>
      </c>
      <c r="B41" s="487" t="s">
        <v>95</v>
      </c>
      <c r="C41" s="487">
        <v>7625</v>
      </c>
      <c r="D41" s="499" t="s">
        <v>687</v>
      </c>
      <c r="E41" s="487" t="s">
        <v>256</v>
      </c>
      <c r="F41" s="487" t="s">
        <v>262</v>
      </c>
      <c r="G41" s="487">
        <v>1.6283800000000001E-2</v>
      </c>
      <c r="H41" s="487"/>
      <c r="I41" s="494">
        <v>1232415.78</v>
      </c>
      <c r="J41" s="494"/>
      <c r="K41" s="494">
        <v>20068.41</v>
      </c>
      <c r="L41" s="494"/>
      <c r="M41" s="494">
        <v>20068.41</v>
      </c>
      <c r="N41" s="497">
        <v>3.3999999999999998E-3</v>
      </c>
      <c r="O41" s="497">
        <v>0.91510000000000002</v>
      </c>
      <c r="P41" s="491" t="s">
        <v>546</v>
      </c>
    </row>
    <row r="42" spans="1:16" ht="30">
      <c r="A42" s="488">
        <v>33</v>
      </c>
      <c r="B42" s="488" t="s">
        <v>95</v>
      </c>
      <c r="C42" s="488">
        <v>43491</v>
      </c>
      <c r="D42" s="498" t="s">
        <v>688</v>
      </c>
      <c r="E42" s="488" t="s">
        <v>256</v>
      </c>
      <c r="F42" s="488" t="s">
        <v>244</v>
      </c>
      <c r="G42" s="488">
        <v>14616.573060000001</v>
      </c>
      <c r="H42" s="488"/>
      <c r="I42" s="493">
        <v>1.33</v>
      </c>
      <c r="J42" s="493"/>
      <c r="K42" s="493">
        <v>19440.04</v>
      </c>
      <c r="L42" s="493"/>
      <c r="M42" s="493">
        <v>19440.04</v>
      </c>
      <c r="N42" s="496">
        <v>3.3E-3</v>
      </c>
      <c r="O42" s="496">
        <v>0.91839999999999999</v>
      </c>
      <c r="P42" s="491" t="s">
        <v>546</v>
      </c>
    </row>
    <row r="43" spans="1:16" ht="30">
      <c r="A43" s="487">
        <v>34</v>
      </c>
      <c r="B43" s="487" t="s">
        <v>95</v>
      </c>
      <c r="C43" s="487">
        <v>40637</v>
      </c>
      <c r="D43" s="499" t="s">
        <v>689</v>
      </c>
      <c r="E43" s="487" t="s">
        <v>256</v>
      </c>
      <c r="F43" s="487" t="s">
        <v>262</v>
      </c>
      <c r="G43" s="487">
        <v>2.4129100000000001E-2</v>
      </c>
      <c r="H43" s="487"/>
      <c r="I43" s="494">
        <v>793072.01</v>
      </c>
      <c r="J43" s="494"/>
      <c r="K43" s="494">
        <v>19136.11</v>
      </c>
      <c r="L43" s="494"/>
      <c r="M43" s="494">
        <v>19136.11</v>
      </c>
      <c r="N43" s="497">
        <v>3.2000000000000002E-3</v>
      </c>
      <c r="O43" s="497">
        <v>0.92159999999999997</v>
      </c>
      <c r="P43" s="491" t="s">
        <v>546</v>
      </c>
    </row>
    <row r="44" spans="1:16" ht="15">
      <c r="A44" s="488">
        <v>35</v>
      </c>
      <c r="B44" s="488" t="s">
        <v>95</v>
      </c>
      <c r="C44" s="488">
        <v>7258</v>
      </c>
      <c r="D44" s="498" t="s">
        <v>690</v>
      </c>
      <c r="E44" s="488" t="s">
        <v>284</v>
      </c>
      <c r="F44" s="488" t="s">
        <v>262</v>
      </c>
      <c r="G44" s="488">
        <v>27960.3544</v>
      </c>
      <c r="H44" s="488"/>
      <c r="I44" s="493">
        <v>0.68</v>
      </c>
      <c r="J44" s="493"/>
      <c r="K44" s="493">
        <v>19013.04</v>
      </c>
      <c r="L44" s="493"/>
      <c r="M44" s="493">
        <v>19013.04</v>
      </c>
      <c r="N44" s="496">
        <v>3.2000000000000002E-3</v>
      </c>
      <c r="O44" s="496">
        <v>0.92479999999999996</v>
      </c>
      <c r="P44" s="491" t="s">
        <v>546</v>
      </c>
    </row>
    <row r="45" spans="1:16" ht="30">
      <c r="A45" s="487">
        <v>36</v>
      </c>
      <c r="B45" s="487" t="s">
        <v>95</v>
      </c>
      <c r="C45" s="487">
        <v>10488</v>
      </c>
      <c r="D45" s="499" t="s">
        <v>691</v>
      </c>
      <c r="E45" s="487" t="s">
        <v>256</v>
      </c>
      <c r="F45" s="487" t="s">
        <v>262</v>
      </c>
      <c r="G45" s="487">
        <v>9.5379999999999996E-3</v>
      </c>
      <c r="H45" s="487"/>
      <c r="I45" s="494">
        <v>1916850</v>
      </c>
      <c r="J45" s="494"/>
      <c r="K45" s="494">
        <v>18282.919999999998</v>
      </c>
      <c r="L45" s="494"/>
      <c r="M45" s="494">
        <v>18282.919999999998</v>
      </c>
      <c r="N45" s="497">
        <v>3.0999999999999999E-3</v>
      </c>
      <c r="O45" s="497">
        <v>0.92779999999999996</v>
      </c>
      <c r="P45" s="491" t="s">
        <v>546</v>
      </c>
    </row>
    <row r="46" spans="1:16" ht="45">
      <c r="A46" s="488">
        <v>37</v>
      </c>
      <c r="B46" s="488" t="s">
        <v>95</v>
      </c>
      <c r="C46" s="488">
        <v>21090</v>
      </c>
      <c r="D46" s="498" t="s">
        <v>692</v>
      </c>
      <c r="E46" s="488" t="s">
        <v>284</v>
      </c>
      <c r="F46" s="488" t="s">
        <v>262</v>
      </c>
      <c r="G46" s="488">
        <v>23</v>
      </c>
      <c r="H46" s="488"/>
      <c r="I46" s="493">
        <v>782.32</v>
      </c>
      <c r="J46" s="493"/>
      <c r="K46" s="493">
        <v>17993.36</v>
      </c>
      <c r="L46" s="493"/>
      <c r="M46" s="493">
        <v>17993.36</v>
      </c>
      <c r="N46" s="496">
        <v>3.0000000000000001E-3</v>
      </c>
      <c r="O46" s="496">
        <v>0.93089999999999995</v>
      </c>
      <c r="P46" s="491" t="s">
        <v>546</v>
      </c>
    </row>
    <row r="47" spans="1:16" ht="15">
      <c r="A47" s="487">
        <v>38</v>
      </c>
      <c r="B47" s="487" t="s">
        <v>95</v>
      </c>
      <c r="C47" s="487">
        <v>37666</v>
      </c>
      <c r="D47" s="499" t="s">
        <v>693</v>
      </c>
      <c r="E47" s="487" t="s">
        <v>664</v>
      </c>
      <c r="F47" s="487" t="s">
        <v>244</v>
      </c>
      <c r="G47" s="487">
        <v>1118.3088319999999</v>
      </c>
      <c r="H47" s="487"/>
      <c r="I47" s="494">
        <v>14.58</v>
      </c>
      <c r="J47" s="494"/>
      <c r="K47" s="494">
        <v>16304.94</v>
      </c>
      <c r="L47" s="494"/>
      <c r="M47" s="494">
        <v>16304.94</v>
      </c>
      <c r="N47" s="497">
        <v>2.7000000000000001E-3</v>
      </c>
      <c r="O47" s="497">
        <v>0.93359999999999999</v>
      </c>
      <c r="P47" s="491" t="s">
        <v>546</v>
      </c>
    </row>
    <row r="48" spans="1:16" ht="15">
      <c r="A48" s="488">
        <v>39</v>
      </c>
      <c r="B48" s="488" t="s">
        <v>263</v>
      </c>
      <c r="C48" s="488" t="s">
        <v>264</v>
      </c>
      <c r="D48" s="498" t="s">
        <v>265</v>
      </c>
      <c r="E48" s="488" t="s">
        <v>256</v>
      </c>
      <c r="F48" s="488" t="s">
        <v>231</v>
      </c>
      <c r="G48" s="488">
        <v>40</v>
      </c>
      <c r="H48" s="488"/>
      <c r="I48" s="493">
        <v>394.1</v>
      </c>
      <c r="J48" s="493"/>
      <c r="K48" s="493">
        <v>15764.12</v>
      </c>
      <c r="L48" s="493"/>
      <c r="M48" s="493">
        <v>15764.12</v>
      </c>
      <c r="N48" s="496">
        <v>2.5999999999999999E-3</v>
      </c>
      <c r="O48" s="496">
        <v>0.93620000000000003</v>
      </c>
      <c r="P48" s="491" t="s">
        <v>546</v>
      </c>
    </row>
    <row r="49" spans="1:16" ht="15">
      <c r="A49" s="487">
        <v>40</v>
      </c>
      <c r="B49" s="487" t="s">
        <v>95</v>
      </c>
      <c r="C49" s="487">
        <v>34345</v>
      </c>
      <c r="D49" s="499" t="s">
        <v>694</v>
      </c>
      <c r="E49" s="487" t="s">
        <v>664</v>
      </c>
      <c r="F49" s="487" t="s">
        <v>244</v>
      </c>
      <c r="G49" s="487">
        <v>1327.7352000000001</v>
      </c>
      <c r="H49" s="487"/>
      <c r="I49" s="494">
        <v>11.87</v>
      </c>
      <c r="J49" s="494"/>
      <c r="K49" s="494">
        <v>15760.22</v>
      </c>
      <c r="L49" s="494"/>
      <c r="M49" s="494">
        <v>15760.22</v>
      </c>
      <c r="N49" s="497">
        <v>2.5999999999999999E-3</v>
      </c>
      <c r="O49" s="497">
        <v>0.93889999999999996</v>
      </c>
      <c r="P49" s="491" t="s">
        <v>546</v>
      </c>
    </row>
    <row r="50" spans="1:16" ht="30">
      <c r="A50" s="488">
        <v>41</v>
      </c>
      <c r="B50" s="488" t="s">
        <v>95</v>
      </c>
      <c r="C50" s="488">
        <v>7640</v>
      </c>
      <c r="D50" s="498" t="s">
        <v>695</v>
      </c>
      <c r="E50" s="488" t="s">
        <v>256</v>
      </c>
      <c r="F50" s="488" t="s">
        <v>262</v>
      </c>
      <c r="G50" s="488">
        <v>5.7820799999999999E-2</v>
      </c>
      <c r="H50" s="488"/>
      <c r="I50" s="493">
        <v>256595</v>
      </c>
      <c r="J50" s="493"/>
      <c r="K50" s="493">
        <v>14836.53</v>
      </c>
      <c r="L50" s="493"/>
      <c r="M50" s="493">
        <v>14836.53</v>
      </c>
      <c r="N50" s="496">
        <v>2.5000000000000001E-3</v>
      </c>
      <c r="O50" s="496">
        <v>0.94140000000000001</v>
      </c>
      <c r="P50" s="491" t="s">
        <v>546</v>
      </c>
    </row>
    <row r="51" spans="1:16" ht="15">
      <c r="A51" s="487">
        <v>42</v>
      </c>
      <c r="B51" s="487" t="s">
        <v>95</v>
      </c>
      <c r="C51" s="487">
        <v>4093</v>
      </c>
      <c r="D51" s="499" t="s">
        <v>696</v>
      </c>
      <c r="E51" s="487" t="s">
        <v>664</v>
      </c>
      <c r="F51" s="487" t="s">
        <v>244</v>
      </c>
      <c r="G51" s="487">
        <v>843.04066920000002</v>
      </c>
      <c r="H51" s="487"/>
      <c r="I51" s="494">
        <v>17.39</v>
      </c>
      <c r="J51" s="494"/>
      <c r="K51" s="494">
        <v>14660.48</v>
      </c>
      <c r="L51" s="494"/>
      <c r="M51" s="494">
        <v>14660.48</v>
      </c>
      <c r="N51" s="497">
        <v>2.5000000000000001E-3</v>
      </c>
      <c r="O51" s="497">
        <v>0.94379999999999997</v>
      </c>
      <c r="P51" s="491" t="s">
        <v>546</v>
      </c>
    </row>
    <row r="52" spans="1:16" ht="15">
      <c r="A52" s="488">
        <v>43</v>
      </c>
      <c r="B52" s="488" t="s">
        <v>95</v>
      </c>
      <c r="C52" s="488">
        <v>1213</v>
      </c>
      <c r="D52" s="498" t="s">
        <v>697</v>
      </c>
      <c r="E52" s="488" t="s">
        <v>664</v>
      </c>
      <c r="F52" s="488" t="s">
        <v>244</v>
      </c>
      <c r="G52" s="488">
        <v>873.34105899999997</v>
      </c>
      <c r="H52" s="488"/>
      <c r="I52" s="493">
        <v>16.41</v>
      </c>
      <c r="J52" s="493"/>
      <c r="K52" s="493">
        <v>14331.53</v>
      </c>
      <c r="L52" s="493"/>
      <c r="M52" s="493">
        <v>14331.53</v>
      </c>
      <c r="N52" s="496">
        <v>2.3999999999999998E-3</v>
      </c>
      <c r="O52" s="496">
        <v>0.94620000000000004</v>
      </c>
      <c r="P52" s="491" t="s">
        <v>546</v>
      </c>
    </row>
    <row r="53" spans="1:16" ht="15">
      <c r="A53" s="487">
        <v>44</v>
      </c>
      <c r="B53" s="487" t="s">
        <v>95</v>
      </c>
      <c r="C53" s="487">
        <v>4239</v>
      </c>
      <c r="D53" s="499" t="s">
        <v>698</v>
      </c>
      <c r="E53" s="487" t="s">
        <v>664</v>
      </c>
      <c r="F53" s="487" t="s">
        <v>244</v>
      </c>
      <c r="G53" s="487">
        <v>592.60193249999998</v>
      </c>
      <c r="H53" s="487"/>
      <c r="I53" s="494">
        <v>22.61</v>
      </c>
      <c r="J53" s="494"/>
      <c r="K53" s="494">
        <v>13398.73</v>
      </c>
      <c r="L53" s="494"/>
      <c r="M53" s="494">
        <v>13398.73</v>
      </c>
      <c r="N53" s="497">
        <v>2.2000000000000001E-3</v>
      </c>
      <c r="O53" s="497">
        <v>0.94850000000000001</v>
      </c>
      <c r="P53" s="491" t="s">
        <v>546</v>
      </c>
    </row>
    <row r="54" spans="1:16" ht="30">
      <c r="A54" s="488">
        <v>45</v>
      </c>
      <c r="B54" s="488" t="s">
        <v>95</v>
      </c>
      <c r="C54" s="488">
        <v>25067</v>
      </c>
      <c r="D54" s="498" t="s">
        <v>699</v>
      </c>
      <c r="E54" s="488" t="s">
        <v>284</v>
      </c>
      <c r="F54" s="488" t="s">
        <v>262</v>
      </c>
      <c r="G54" s="488">
        <v>2355.6623</v>
      </c>
      <c r="H54" s="488"/>
      <c r="I54" s="493">
        <v>5.44</v>
      </c>
      <c r="J54" s="493"/>
      <c r="K54" s="493">
        <v>12814.8</v>
      </c>
      <c r="L54" s="493"/>
      <c r="M54" s="493">
        <v>12814.8</v>
      </c>
      <c r="N54" s="496">
        <v>2.0999999999999999E-3</v>
      </c>
      <c r="O54" s="496">
        <v>0.9506</v>
      </c>
      <c r="P54" s="491" t="s">
        <v>546</v>
      </c>
    </row>
    <row r="55" spans="1:16" ht="15">
      <c r="A55" s="487">
        <v>46</v>
      </c>
      <c r="B55" s="487" t="s">
        <v>95</v>
      </c>
      <c r="C55" s="487">
        <v>4083</v>
      </c>
      <c r="D55" s="499" t="s">
        <v>700</v>
      </c>
      <c r="E55" s="487" t="s">
        <v>664</v>
      </c>
      <c r="F55" s="487" t="s">
        <v>244</v>
      </c>
      <c r="G55" s="487">
        <v>676.11720000000003</v>
      </c>
      <c r="H55" s="487"/>
      <c r="I55" s="494">
        <v>18.2</v>
      </c>
      <c r="J55" s="494"/>
      <c r="K55" s="494">
        <v>12305.33</v>
      </c>
      <c r="L55" s="494"/>
      <c r="M55" s="494">
        <v>12305.33</v>
      </c>
      <c r="N55" s="497">
        <v>2.0999999999999999E-3</v>
      </c>
      <c r="O55" s="497">
        <v>0.95269999999999999</v>
      </c>
      <c r="P55" s="491" t="s">
        <v>546</v>
      </c>
    </row>
    <row r="56" spans="1:16" ht="30">
      <c r="A56" s="488">
        <v>47</v>
      </c>
      <c r="B56" s="488" t="s">
        <v>95</v>
      </c>
      <c r="C56" s="488">
        <v>43488</v>
      </c>
      <c r="D56" s="498" t="s">
        <v>701</v>
      </c>
      <c r="E56" s="488" t="s">
        <v>256</v>
      </c>
      <c r="F56" s="488" t="s">
        <v>244</v>
      </c>
      <c r="G56" s="488">
        <v>14019.37103</v>
      </c>
      <c r="H56" s="488"/>
      <c r="I56" s="493">
        <v>0.86</v>
      </c>
      <c r="J56" s="493"/>
      <c r="K56" s="493">
        <v>12056.66</v>
      </c>
      <c r="L56" s="493"/>
      <c r="M56" s="493">
        <v>12056.66</v>
      </c>
      <c r="N56" s="496">
        <v>2E-3</v>
      </c>
      <c r="O56" s="496">
        <v>0.95469999999999999</v>
      </c>
      <c r="P56" s="491" t="s">
        <v>546</v>
      </c>
    </row>
    <row r="57" spans="1:16" ht="45">
      <c r="A57" s="487">
        <v>48</v>
      </c>
      <c r="B57" s="487" t="s">
        <v>95</v>
      </c>
      <c r="C57" s="487">
        <v>14626</v>
      </c>
      <c r="D57" s="499" t="s">
        <v>702</v>
      </c>
      <c r="E57" s="487" t="s">
        <v>256</v>
      </c>
      <c r="F57" s="487" t="s">
        <v>262</v>
      </c>
      <c r="G57" s="487">
        <v>1.3384999999999999E-2</v>
      </c>
      <c r="H57" s="487"/>
      <c r="I57" s="494">
        <v>899714.32</v>
      </c>
      <c r="J57" s="494"/>
      <c r="K57" s="494">
        <v>12042.68</v>
      </c>
      <c r="L57" s="494"/>
      <c r="M57" s="494">
        <v>12042.68</v>
      </c>
      <c r="N57" s="497">
        <v>2E-3</v>
      </c>
      <c r="O57" s="497">
        <v>0.95669999999999999</v>
      </c>
      <c r="P57" s="491" t="s">
        <v>546</v>
      </c>
    </row>
    <row r="58" spans="1:16" ht="15">
      <c r="A58" s="488">
        <v>49</v>
      </c>
      <c r="B58" s="488" t="s">
        <v>95</v>
      </c>
      <c r="C58" s="488">
        <v>40331</v>
      </c>
      <c r="D58" s="498" t="s">
        <v>703</v>
      </c>
      <c r="E58" s="488" t="s">
        <v>664</v>
      </c>
      <c r="F58" s="488" t="s">
        <v>244</v>
      </c>
      <c r="G58" s="488">
        <v>1035.2670900000001</v>
      </c>
      <c r="H58" s="488"/>
      <c r="I58" s="493">
        <v>9.65</v>
      </c>
      <c r="J58" s="493"/>
      <c r="K58" s="493">
        <v>9990.33</v>
      </c>
      <c r="L58" s="493"/>
      <c r="M58" s="493">
        <v>9990.33</v>
      </c>
      <c r="N58" s="496">
        <v>1.6999999999999999E-3</v>
      </c>
      <c r="O58" s="496">
        <v>0.95840000000000003</v>
      </c>
      <c r="P58" s="491" t="s">
        <v>546</v>
      </c>
    </row>
    <row r="59" spans="1:16" ht="45">
      <c r="A59" s="487">
        <v>50</v>
      </c>
      <c r="B59" s="487" t="s">
        <v>95</v>
      </c>
      <c r="C59" s="487">
        <v>1524</v>
      </c>
      <c r="D59" s="499" t="s">
        <v>704</v>
      </c>
      <c r="E59" s="487" t="s">
        <v>284</v>
      </c>
      <c r="F59" s="487" t="s">
        <v>114</v>
      </c>
      <c r="G59" s="487">
        <v>13.8564375</v>
      </c>
      <c r="H59" s="487"/>
      <c r="I59" s="494">
        <v>712.53</v>
      </c>
      <c r="J59" s="494"/>
      <c r="K59" s="494">
        <v>9873.1299999999992</v>
      </c>
      <c r="L59" s="494"/>
      <c r="M59" s="494">
        <v>9873.1299999999992</v>
      </c>
      <c r="N59" s="497">
        <v>1.6999999999999999E-3</v>
      </c>
      <c r="O59" s="497">
        <v>0.96009999999999995</v>
      </c>
      <c r="P59" s="491" t="s">
        <v>546</v>
      </c>
    </row>
    <row r="60" spans="1:16" ht="30">
      <c r="A60" s="488">
        <v>51</v>
      </c>
      <c r="B60" s="488" t="s">
        <v>95</v>
      </c>
      <c r="C60" s="488">
        <v>43467</v>
      </c>
      <c r="D60" s="498" t="s">
        <v>705</v>
      </c>
      <c r="E60" s="488" t="s">
        <v>256</v>
      </c>
      <c r="F60" s="488" t="s">
        <v>244</v>
      </c>
      <c r="G60" s="488">
        <v>14616.573060000001</v>
      </c>
      <c r="H60" s="488"/>
      <c r="I60" s="493">
        <v>0.61</v>
      </c>
      <c r="J60" s="493"/>
      <c r="K60" s="493">
        <v>8916.11</v>
      </c>
      <c r="L60" s="493"/>
      <c r="M60" s="493">
        <v>8916.11</v>
      </c>
      <c r="N60" s="496">
        <v>1.5E-3</v>
      </c>
      <c r="O60" s="496">
        <v>0.96160000000000001</v>
      </c>
      <c r="P60" s="491" t="s">
        <v>546</v>
      </c>
    </row>
    <row r="61" spans="1:16" ht="30">
      <c r="A61" s="487">
        <v>52</v>
      </c>
      <c r="B61" s="487" t="s">
        <v>95</v>
      </c>
      <c r="C61" s="487">
        <v>43489</v>
      </c>
      <c r="D61" s="499" t="s">
        <v>706</v>
      </c>
      <c r="E61" s="487" t="s">
        <v>256</v>
      </c>
      <c r="F61" s="487" t="s">
        <v>244</v>
      </c>
      <c r="G61" s="487">
        <v>7152.2906720000001</v>
      </c>
      <c r="H61" s="487"/>
      <c r="I61" s="494">
        <v>1.24</v>
      </c>
      <c r="J61" s="494"/>
      <c r="K61" s="494">
        <v>8868.84</v>
      </c>
      <c r="L61" s="494"/>
      <c r="M61" s="494">
        <v>8868.84</v>
      </c>
      <c r="N61" s="497">
        <v>1.5E-3</v>
      </c>
      <c r="O61" s="497">
        <v>0.96299999999999997</v>
      </c>
      <c r="P61" s="491" t="s">
        <v>546</v>
      </c>
    </row>
    <row r="62" spans="1:16" ht="30">
      <c r="A62" s="488">
        <v>53</v>
      </c>
      <c r="B62" s="488" t="s">
        <v>95</v>
      </c>
      <c r="C62" s="488">
        <v>13803</v>
      </c>
      <c r="D62" s="498" t="s">
        <v>707</v>
      </c>
      <c r="E62" s="488" t="s">
        <v>256</v>
      </c>
      <c r="F62" s="488" t="s">
        <v>262</v>
      </c>
      <c r="G62" s="488">
        <v>6.6904699999999998E-2</v>
      </c>
      <c r="H62" s="488"/>
      <c r="I62" s="493">
        <v>129668.86</v>
      </c>
      <c r="J62" s="493"/>
      <c r="K62" s="493">
        <v>8675.4599999999991</v>
      </c>
      <c r="L62" s="493"/>
      <c r="M62" s="493">
        <v>8675.4599999999991</v>
      </c>
      <c r="N62" s="496">
        <v>1.5E-3</v>
      </c>
      <c r="O62" s="496">
        <v>0.96450000000000002</v>
      </c>
      <c r="P62" s="491" t="s">
        <v>546</v>
      </c>
    </row>
    <row r="63" spans="1:16" ht="15">
      <c r="A63" s="487">
        <v>54</v>
      </c>
      <c r="B63" s="487" t="s">
        <v>95</v>
      </c>
      <c r="C63" s="487">
        <v>4783</v>
      </c>
      <c r="D63" s="499" t="s">
        <v>708</v>
      </c>
      <c r="E63" s="487" t="s">
        <v>664</v>
      </c>
      <c r="F63" s="487" t="s">
        <v>244</v>
      </c>
      <c r="G63" s="487">
        <v>508.55063949999999</v>
      </c>
      <c r="H63" s="487"/>
      <c r="I63" s="494">
        <v>16.41</v>
      </c>
      <c r="J63" s="494"/>
      <c r="K63" s="494">
        <v>8345.32</v>
      </c>
      <c r="L63" s="494"/>
      <c r="M63" s="494">
        <v>8345.32</v>
      </c>
      <c r="N63" s="497">
        <v>1.4E-3</v>
      </c>
      <c r="O63" s="497">
        <v>0.96589999999999998</v>
      </c>
      <c r="P63" s="491" t="s">
        <v>546</v>
      </c>
    </row>
    <row r="64" spans="1:16" ht="15">
      <c r="A64" s="488">
        <v>55</v>
      </c>
      <c r="B64" s="488" t="s">
        <v>95</v>
      </c>
      <c r="C64" s="488">
        <v>43059</v>
      </c>
      <c r="D64" s="498" t="s">
        <v>709</v>
      </c>
      <c r="E64" s="488" t="s">
        <v>284</v>
      </c>
      <c r="F64" s="488" t="s">
        <v>710</v>
      </c>
      <c r="G64" s="488">
        <v>1110.0995820000001</v>
      </c>
      <c r="H64" s="488"/>
      <c r="I64" s="493">
        <v>7.36</v>
      </c>
      <c r="J64" s="493"/>
      <c r="K64" s="493">
        <v>8170.33</v>
      </c>
      <c r="L64" s="493"/>
      <c r="M64" s="493">
        <v>8170.33</v>
      </c>
      <c r="N64" s="496">
        <v>1.4E-3</v>
      </c>
      <c r="O64" s="496">
        <v>0.96730000000000005</v>
      </c>
      <c r="P64" s="491" t="s">
        <v>546</v>
      </c>
    </row>
    <row r="65" spans="1:16" ht="15">
      <c r="A65" s="487">
        <v>56</v>
      </c>
      <c r="B65" s="487" t="s">
        <v>95</v>
      </c>
      <c r="C65" s="487">
        <v>4248</v>
      </c>
      <c r="D65" s="499" t="s">
        <v>711</v>
      </c>
      <c r="E65" s="487" t="s">
        <v>664</v>
      </c>
      <c r="F65" s="487" t="s">
        <v>244</v>
      </c>
      <c r="G65" s="487">
        <v>454.89330749999999</v>
      </c>
      <c r="H65" s="487"/>
      <c r="I65" s="494">
        <v>17.46</v>
      </c>
      <c r="J65" s="494"/>
      <c r="K65" s="494">
        <v>7942.44</v>
      </c>
      <c r="L65" s="494"/>
      <c r="M65" s="494">
        <v>7942.44</v>
      </c>
      <c r="N65" s="497">
        <v>1.2999999999999999E-3</v>
      </c>
      <c r="O65" s="497">
        <v>0.96860000000000002</v>
      </c>
      <c r="P65" s="491" t="s">
        <v>546</v>
      </c>
    </row>
    <row r="66" spans="1:16" ht="30">
      <c r="A66" s="488">
        <v>57</v>
      </c>
      <c r="B66" s="488" t="s">
        <v>95</v>
      </c>
      <c r="C66" s="488">
        <v>4720</v>
      </c>
      <c r="D66" s="498" t="s">
        <v>712</v>
      </c>
      <c r="E66" s="488" t="s">
        <v>284</v>
      </c>
      <c r="F66" s="488" t="s">
        <v>114</v>
      </c>
      <c r="G66" s="488">
        <v>31.951636300000001</v>
      </c>
      <c r="H66" s="488"/>
      <c r="I66" s="493">
        <v>246.92</v>
      </c>
      <c r="J66" s="493"/>
      <c r="K66" s="493">
        <v>7889.5</v>
      </c>
      <c r="L66" s="493"/>
      <c r="M66" s="493">
        <v>7889.5</v>
      </c>
      <c r="N66" s="496">
        <v>1.2999999999999999E-3</v>
      </c>
      <c r="O66" s="496">
        <v>0.96989999999999998</v>
      </c>
      <c r="P66" s="491" t="s">
        <v>546</v>
      </c>
    </row>
    <row r="67" spans="1:16" ht="15">
      <c r="A67" s="487">
        <v>58</v>
      </c>
      <c r="B67" s="487" t="s">
        <v>95</v>
      </c>
      <c r="C67" s="487">
        <v>242</v>
      </c>
      <c r="D67" s="499" t="s">
        <v>713</v>
      </c>
      <c r="E67" s="487" t="s">
        <v>664</v>
      </c>
      <c r="F67" s="487" t="s">
        <v>244</v>
      </c>
      <c r="G67" s="487">
        <v>614.09826190000001</v>
      </c>
      <c r="H67" s="487"/>
      <c r="I67" s="494">
        <v>12.7</v>
      </c>
      <c r="J67" s="494"/>
      <c r="K67" s="494">
        <v>7799.05</v>
      </c>
      <c r="L67" s="494"/>
      <c r="M67" s="494">
        <v>7799.05</v>
      </c>
      <c r="N67" s="497">
        <v>1.2999999999999999E-3</v>
      </c>
      <c r="O67" s="497">
        <v>0.97119999999999995</v>
      </c>
      <c r="P67" s="491" t="s">
        <v>546</v>
      </c>
    </row>
    <row r="68" spans="1:16" ht="30">
      <c r="A68" s="488">
        <v>59</v>
      </c>
      <c r="B68" s="488" t="s">
        <v>95</v>
      </c>
      <c r="C68" s="488">
        <v>4509</v>
      </c>
      <c r="D68" s="498" t="s">
        <v>714</v>
      </c>
      <c r="E68" s="488" t="s">
        <v>284</v>
      </c>
      <c r="F68" s="488" t="s">
        <v>107</v>
      </c>
      <c r="G68" s="488">
        <v>1405.9998000000001</v>
      </c>
      <c r="H68" s="488"/>
      <c r="I68" s="493">
        <v>5.18</v>
      </c>
      <c r="J68" s="493"/>
      <c r="K68" s="493">
        <v>7283.08</v>
      </c>
      <c r="L68" s="493"/>
      <c r="M68" s="493">
        <v>7283.08</v>
      </c>
      <c r="N68" s="496">
        <v>1.1999999999999999E-3</v>
      </c>
      <c r="O68" s="496">
        <v>0.97240000000000004</v>
      </c>
      <c r="P68" s="491" t="s">
        <v>546</v>
      </c>
    </row>
    <row r="69" spans="1:16" ht="15">
      <c r="A69" s="487">
        <v>60</v>
      </c>
      <c r="B69" s="487" t="s">
        <v>95</v>
      </c>
      <c r="C69" s="487">
        <v>4257</v>
      </c>
      <c r="D69" s="499" t="s">
        <v>715</v>
      </c>
      <c r="E69" s="487" t="s">
        <v>664</v>
      </c>
      <c r="F69" s="487" t="s">
        <v>244</v>
      </c>
      <c r="G69" s="487">
        <v>640.8746271</v>
      </c>
      <c r="H69" s="487"/>
      <c r="I69" s="494">
        <v>10.94</v>
      </c>
      <c r="J69" s="494"/>
      <c r="K69" s="494">
        <v>7011.17</v>
      </c>
      <c r="L69" s="494"/>
      <c r="M69" s="494">
        <v>7011.17</v>
      </c>
      <c r="N69" s="497">
        <v>1.1999999999999999E-3</v>
      </c>
      <c r="O69" s="497">
        <v>0.97360000000000002</v>
      </c>
      <c r="P69" s="491" t="s">
        <v>546</v>
      </c>
    </row>
    <row r="70" spans="1:16" ht="45">
      <c r="A70" s="488">
        <v>61</v>
      </c>
      <c r="B70" s="488" t="s">
        <v>95</v>
      </c>
      <c r="C70" s="488">
        <v>37754</v>
      </c>
      <c r="D70" s="498" t="s">
        <v>716</v>
      </c>
      <c r="E70" s="488" t="s">
        <v>256</v>
      </c>
      <c r="F70" s="488" t="s">
        <v>262</v>
      </c>
      <c r="G70" s="488">
        <v>1.31564E-2</v>
      </c>
      <c r="H70" s="488"/>
      <c r="I70" s="493">
        <v>511767.58</v>
      </c>
      <c r="J70" s="493"/>
      <c r="K70" s="493">
        <v>6733.02</v>
      </c>
      <c r="L70" s="493"/>
      <c r="M70" s="493">
        <v>6733.02</v>
      </c>
      <c r="N70" s="496">
        <v>1.1000000000000001E-3</v>
      </c>
      <c r="O70" s="496">
        <v>0.9748</v>
      </c>
      <c r="P70" s="491" t="s">
        <v>546</v>
      </c>
    </row>
    <row r="71" spans="1:16" ht="30">
      <c r="A71" s="487">
        <v>62</v>
      </c>
      <c r="B71" s="487" t="s">
        <v>95</v>
      </c>
      <c r="C71" s="487">
        <v>43465</v>
      </c>
      <c r="D71" s="499" t="s">
        <v>717</v>
      </c>
      <c r="E71" s="487" t="s">
        <v>256</v>
      </c>
      <c r="F71" s="487" t="s">
        <v>244</v>
      </c>
      <c r="G71" s="487">
        <v>7152.2906720000001</v>
      </c>
      <c r="H71" s="487"/>
      <c r="I71" s="494">
        <v>0.82</v>
      </c>
      <c r="J71" s="494"/>
      <c r="K71" s="494">
        <v>5864.88</v>
      </c>
      <c r="L71" s="494"/>
      <c r="M71" s="494">
        <v>5864.88</v>
      </c>
      <c r="N71" s="497">
        <v>1E-3</v>
      </c>
      <c r="O71" s="497">
        <v>0.97570000000000001</v>
      </c>
      <c r="P71" s="491" t="s">
        <v>546</v>
      </c>
    </row>
    <row r="72" spans="1:16" ht="15">
      <c r="A72" s="488">
        <v>63</v>
      </c>
      <c r="B72" s="488" t="s">
        <v>95</v>
      </c>
      <c r="C72" s="488">
        <v>32</v>
      </c>
      <c r="D72" s="498" t="s">
        <v>718</v>
      </c>
      <c r="E72" s="488" t="s">
        <v>284</v>
      </c>
      <c r="F72" s="488" t="s">
        <v>285</v>
      </c>
      <c r="G72" s="488">
        <v>645.82507750000002</v>
      </c>
      <c r="H72" s="488"/>
      <c r="I72" s="493">
        <v>8.2100000000000009</v>
      </c>
      <c r="J72" s="493"/>
      <c r="K72" s="493">
        <v>5302.22</v>
      </c>
      <c r="L72" s="493"/>
      <c r="M72" s="493">
        <v>5302.22</v>
      </c>
      <c r="N72" s="496">
        <v>8.9999999999999998E-4</v>
      </c>
      <c r="O72" s="496">
        <v>0.97660000000000002</v>
      </c>
      <c r="P72" s="491" t="s">
        <v>546</v>
      </c>
    </row>
    <row r="73" spans="1:16" ht="15">
      <c r="A73" s="487">
        <v>64</v>
      </c>
      <c r="B73" s="487" t="s">
        <v>95</v>
      </c>
      <c r="C73" s="487">
        <v>44501</v>
      </c>
      <c r="D73" s="499" t="s">
        <v>719</v>
      </c>
      <c r="E73" s="487" t="s">
        <v>664</v>
      </c>
      <c r="F73" s="487" t="s">
        <v>720</v>
      </c>
      <c r="G73" s="487">
        <v>293.73163030000001</v>
      </c>
      <c r="H73" s="487"/>
      <c r="I73" s="494">
        <v>17.46</v>
      </c>
      <c r="J73" s="494"/>
      <c r="K73" s="494">
        <v>5128.55</v>
      </c>
      <c r="L73" s="494"/>
      <c r="M73" s="494">
        <v>5128.55</v>
      </c>
      <c r="N73" s="497">
        <v>8.9999999999999998E-4</v>
      </c>
      <c r="O73" s="497">
        <v>0.97750000000000004</v>
      </c>
      <c r="P73" s="491" t="s">
        <v>546</v>
      </c>
    </row>
    <row r="74" spans="1:16" ht="15">
      <c r="A74" s="488">
        <v>65</v>
      </c>
      <c r="B74" s="488" t="s">
        <v>95</v>
      </c>
      <c r="C74" s="488">
        <v>378</v>
      </c>
      <c r="D74" s="498" t="s">
        <v>721</v>
      </c>
      <c r="E74" s="488" t="s">
        <v>664</v>
      </c>
      <c r="F74" s="488" t="s">
        <v>244</v>
      </c>
      <c r="G74" s="488">
        <v>307.1464909</v>
      </c>
      <c r="H74" s="488"/>
      <c r="I74" s="493">
        <v>16.41</v>
      </c>
      <c r="J74" s="493"/>
      <c r="K74" s="493">
        <v>5040.2700000000004</v>
      </c>
      <c r="L74" s="493"/>
      <c r="M74" s="493">
        <v>5040.2700000000004</v>
      </c>
      <c r="N74" s="496">
        <v>8.0000000000000004E-4</v>
      </c>
      <c r="O74" s="496">
        <v>0.97829999999999995</v>
      </c>
      <c r="P74" s="491" t="s">
        <v>546</v>
      </c>
    </row>
    <row r="75" spans="1:16" ht="15">
      <c r="A75" s="487">
        <v>66</v>
      </c>
      <c r="B75" s="487" t="s">
        <v>95</v>
      </c>
      <c r="C75" s="487">
        <v>4222</v>
      </c>
      <c r="D75" s="499" t="s">
        <v>722</v>
      </c>
      <c r="E75" s="487" t="s">
        <v>284</v>
      </c>
      <c r="F75" s="487" t="s">
        <v>13</v>
      </c>
      <c r="G75" s="487">
        <v>821.15513020000003</v>
      </c>
      <c r="H75" s="487"/>
      <c r="I75" s="494">
        <v>5.64</v>
      </c>
      <c r="J75" s="494"/>
      <c r="K75" s="494">
        <v>4631.3100000000004</v>
      </c>
      <c r="L75" s="494"/>
      <c r="M75" s="494">
        <v>4631.3100000000004</v>
      </c>
      <c r="N75" s="497">
        <v>8.0000000000000004E-4</v>
      </c>
      <c r="O75" s="497">
        <v>0.97909999999999997</v>
      </c>
      <c r="P75" s="491" t="s">
        <v>546</v>
      </c>
    </row>
    <row r="76" spans="1:16" ht="30">
      <c r="A76" s="488">
        <v>67</v>
      </c>
      <c r="B76" s="488" t="s">
        <v>95</v>
      </c>
      <c r="C76" s="488">
        <v>7343</v>
      </c>
      <c r="D76" s="498" t="s">
        <v>723</v>
      </c>
      <c r="E76" s="488" t="s">
        <v>284</v>
      </c>
      <c r="F76" s="488" t="s">
        <v>13</v>
      </c>
      <c r="G76" s="488">
        <v>371.23835000000003</v>
      </c>
      <c r="H76" s="488"/>
      <c r="I76" s="493">
        <v>12.25</v>
      </c>
      <c r="J76" s="493"/>
      <c r="K76" s="493">
        <v>4547.67</v>
      </c>
      <c r="L76" s="493"/>
      <c r="M76" s="493">
        <v>4547.67</v>
      </c>
      <c r="N76" s="496">
        <v>8.0000000000000004E-4</v>
      </c>
      <c r="O76" s="496">
        <v>0.97989999999999999</v>
      </c>
      <c r="P76" s="491" t="s">
        <v>546</v>
      </c>
    </row>
    <row r="77" spans="1:16" ht="60">
      <c r="A77" s="487">
        <v>68</v>
      </c>
      <c r="B77" s="487" t="s">
        <v>95</v>
      </c>
      <c r="C77" s="487">
        <v>37736</v>
      </c>
      <c r="D77" s="499" t="s">
        <v>724</v>
      </c>
      <c r="E77" s="487" t="s">
        <v>256</v>
      </c>
      <c r="F77" s="487" t="s">
        <v>262</v>
      </c>
      <c r="G77" s="487">
        <v>5.3084600000000003E-2</v>
      </c>
      <c r="H77" s="487"/>
      <c r="I77" s="494">
        <v>83450</v>
      </c>
      <c r="J77" s="494"/>
      <c r="K77" s="494">
        <v>4429.91</v>
      </c>
      <c r="L77" s="494"/>
      <c r="M77" s="494">
        <v>4429.91</v>
      </c>
      <c r="N77" s="497">
        <v>6.9999999999999999E-4</v>
      </c>
      <c r="O77" s="497">
        <v>0.98060000000000003</v>
      </c>
      <c r="P77" s="491" t="s">
        <v>546</v>
      </c>
    </row>
    <row r="78" spans="1:16" ht="15">
      <c r="A78" s="488">
        <v>69</v>
      </c>
      <c r="B78" s="488" t="s">
        <v>263</v>
      </c>
      <c r="C78" s="488" t="s">
        <v>725</v>
      </c>
      <c r="D78" s="498" t="s">
        <v>726</v>
      </c>
      <c r="E78" s="488" t="s">
        <v>284</v>
      </c>
      <c r="F78" s="488" t="s">
        <v>727</v>
      </c>
      <c r="G78" s="488">
        <v>152.60400000000001</v>
      </c>
      <c r="H78" s="488"/>
      <c r="I78" s="493">
        <v>28.99</v>
      </c>
      <c r="J78" s="493"/>
      <c r="K78" s="493">
        <v>4424.43</v>
      </c>
      <c r="L78" s="493"/>
      <c r="M78" s="493">
        <v>4424.43</v>
      </c>
      <c r="N78" s="496">
        <v>6.9999999999999999E-4</v>
      </c>
      <c r="O78" s="496">
        <v>0.98140000000000005</v>
      </c>
      <c r="P78" s="491" t="s">
        <v>546</v>
      </c>
    </row>
    <row r="79" spans="1:16" ht="30">
      <c r="A79" s="487">
        <v>70</v>
      </c>
      <c r="B79" s="487" t="s">
        <v>95</v>
      </c>
      <c r="C79" s="487">
        <v>4517</v>
      </c>
      <c r="D79" s="499" t="s">
        <v>728</v>
      </c>
      <c r="E79" s="487" t="s">
        <v>284</v>
      </c>
      <c r="F79" s="487" t="s">
        <v>107</v>
      </c>
      <c r="G79" s="487">
        <v>1200.0373059999999</v>
      </c>
      <c r="H79" s="487"/>
      <c r="I79" s="494">
        <v>3.57</v>
      </c>
      <c r="J79" s="494"/>
      <c r="K79" s="494">
        <v>4284.13</v>
      </c>
      <c r="L79" s="494"/>
      <c r="M79" s="494">
        <v>4284.13</v>
      </c>
      <c r="N79" s="497">
        <v>6.9999999999999999E-4</v>
      </c>
      <c r="O79" s="497">
        <v>0.98209999999999997</v>
      </c>
      <c r="P79" s="491" t="s">
        <v>546</v>
      </c>
    </row>
    <row r="80" spans="1:16" ht="45">
      <c r="A80" s="488">
        <v>71</v>
      </c>
      <c r="B80" s="488" t="s">
        <v>95</v>
      </c>
      <c r="C80" s="488">
        <v>37752</v>
      </c>
      <c r="D80" s="498" t="s">
        <v>729</v>
      </c>
      <c r="E80" s="488" t="s">
        <v>256</v>
      </c>
      <c r="F80" s="488" t="s">
        <v>262</v>
      </c>
      <c r="G80" s="488">
        <v>7.4925E-3</v>
      </c>
      <c r="H80" s="488"/>
      <c r="I80" s="493">
        <v>561891.87</v>
      </c>
      <c r="J80" s="493"/>
      <c r="K80" s="493">
        <v>4209.97</v>
      </c>
      <c r="L80" s="493"/>
      <c r="M80" s="493">
        <v>4209.97</v>
      </c>
      <c r="N80" s="496">
        <v>6.9999999999999999E-4</v>
      </c>
      <c r="O80" s="496">
        <v>0.98280000000000001</v>
      </c>
      <c r="P80" s="491" t="s">
        <v>546</v>
      </c>
    </row>
    <row r="81" spans="1:16" ht="30">
      <c r="A81" s="487">
        <v>72</v>
      </c>
      <c r="B81" s="487" t="s">
        <v>95</v>
      </c>
      <c r="C81" s="487">
        <v>7622</v>
      </c>
      <c r="D81" s="499" t="s">
        <v>730</v>
      </c>
      <c r="E81" s="487" t="s">
        <v>256</v>
      </c>
      <c r="F81" s="487" t="s">
        <v>262</v>
      </c>
      <c r="G81" s="487">
        <v>4.2373999999999997E-3</v>
      </c>
      <c r="H81" s="487"/>
      <c r="I81" s="494">
        <v>956498.8</v>
      </c>
      <c r="J81" s="494"/>
      <c r="K81" s="494">
        <v>4053.07</v>
      </c>
      <c r="L81" s="494"/>
      <c r="M81" s="494">
        <v>4053.07</v>
      </c>
      <c r="N81" s="497">
        <v>6.9999999999999999E-4</v>
      </c>
      <c r="O81" s="497">
        <v>0.98350000000000004</v>
      </c>
      <c r="P81" s="491" t="s">
        <v>546</v>
      </c>
    </row>
    <row r="82" spans="1:16" ht="30">
      <c r="A82" s="488">
        <v>73</v>
      </c>
      <c r="B82" s="488" t="s">
        <v>95</v>
      </c>
      <c r="C82" s="488">
        <v>13836</v>
      </c>
      <c r="D82" s="498" t="s">
        <v>731</v>
      </c>
      <c r="E82" s="488" t="s">
        <v>256</v>
      </c>
      <c r="F82" s="488" t="s">
        <v>262</v>
      </c>
      <c r="G82" s="488">
        <v>5.4820800000000003E-2</v>
      </c>
      <c r="H82" s="488"/>
      <c r="I82" s="493">
        <v>67315.72</v>
      </c>
      <c r="J82" s="493"/>
      <c r="K82" s="493">
        <v>3690.3</v>
      </c>
      <c r="L82" s="493"/>
      <c r="M82" s="493">
        <v>3690.3</v>
      </c>
      <c r="N82" s="496">
        <v>5.9999999999999995E-4</v>
      </c>
      <c r="O82" s="496">
        <v>0.98409999999999997</v>
      </c>
      <c r="P82" s="491" t="s">
        <v>546</v>
      </c>
    </row>
    <row r="83" spans="1:16" ht="15">
      <c r="A83" s="487">
        <v>74</v>
      </c>
      <c r="B83" s="487" t="s">
        <v>263</v>
      </c>
      <c r="C83" s="487" t="s">
        <v>732</v>
      </c>
      <c r="D83" s="499" t="s">
        <v>733</v>
      </c>
      <c r="E83" s="487" t="s">
        <v>284</v>
      </c>
      <c r="F83" s="487" t="s">
        <v>727</v>
      </c>
      <c r="G83" s="487">
        <v>3824.074721</v>
      </c>
      <c r="H83" s="487"/>
      <c r="I83" s="494">
        <v>0.89</v>
      </c>
      <c r="J83" s="494"/>
      <c r="K83" s="494">
        <v>3399.22</v>
      </c>
      <c r="L83" s="494"/>
      <c r="M83" s="494">
        <v>3399.22</v>
      </c>
      <c r="N83" s="497">
        <v>5.9999999999999995E-4</v>
      </c>
      <c r="O83" s="497">
        <v>0.98470000000000002</v>
      </c>
      <c r="P83" s="491" t="s">
        <v>546</v>
      </c>
    </row>
    <row r="84" spans="1:16" ht="60">
      <c r="A84" s="488">
        <v>75</v>
      </c>
      <c r="B84" s="488" t="s">
        <v>95</v>
      </c>
      <c r="C84" s="488">
        <v>37762</v>
      </c>
      <c r="D84" s="498" t="s">
        <v>734</v>
      </c>
      <c r="E84" s="488" t="s">
        <v>256</v>
      </c>
      <c r="F84" s="488" t="s">
        <v>262</v>
      </c>
      <c r="G84" s="488">
        <v>4.4821000000000001E-3</v>
      </c>
      <c r="H84" s="488"/>
      <c r="I84" s="493">
        <v>738740.35</v>
      </c>
      <c r="J84" s="493"/>
      <c r="K84" s="493">
        <v>3311.11</v>
      </c>
      <c r="L84" s="493"/>
      <c r="M84" s="493">
        <v>3311.11</v>
      </c>
      <c r="N84" s="496">
        <v>5.9999999999999995E-4</v>
      </c>
      <c r="O84" s="496">
        <v>0.98519999999999996</v>
      </c>
      <c r="P84" s="491" t="s">
        <v>546</v>
      </c>
    </row>
    <row r="85" spans="1:16" ht="15">
      <c r="A85" s="487">
        <v>76</v>
      </c>
      <c r="B85" s="487" t="s">
        <v>95</v>
      </c>
      <c r="C85" s="487">
        <v>660</v>
      </c>
      <c r="D85" s="499" t="s">
        <v>735</v>
      </c>
      <c r="E85" s="487" t="s">
        <v>284</v>
      </c>
      <c r="F85" s="487" t="s">
        <v>262</v>
      </c>
      <c r="G85" s="487">
        <v>941.85</v>
      </c>
      <c r="H85" s="487"/>
      <c r="I85" s="494">
        <v>3.38</v>
      </c>
      <c r="J85" s="494"/>
      <c r="K85" s="494">
        <v>3183.45</v>
      </c>
      <c r="L85" s="494"/>
      <c r="M85" s="494">
        <v>3183.45</v>
      </c>
      <c r="N85" s="497">
        <v>5.0000000000000001E-4</v>
      </c>
      <c r="O85" s="497">
        <v>0.98570000000000002</v>
      </c>
      <c r="P85" s="491" t="s">
        <v>546</v>
      </c>
    </row>
    <row r="86" spans="1:16" ht="30">
      <c r="A86" s="488">
        <v>77</v>
      </c>
      <c r="B86" s="488" t="s">
        <v>95</v>
      </c>
      <c r="C86" s="488">
        <v>44477</v>
      </c>
      <c r="D86" s="498" t="s">
        <v>736</v>
      </c>
      <c r="E86" s="488" t="s">
        <v>284</v>
      </c>
      <c r="F86" s="488" t="s">
        <v>710</v>
      </c>
      <c r="G86" s="488">
        <v>215.83625000000001</v>
      </c>
      <c r="H86" s="488"/>
      <c r="I86" s="493">
        <v>14.58</v>
      </c>
      <c r="J86" s="493"/>
      <c r="K86" s="493">
        <v>3146.89</v>
      </c>
      <c r="L86" s="493"/>
      <c r="M86" s="493">
        <v>3146.89</v>
      </c>
      <c r="N86" s="496">
        <v>5.0000000000000001E-4</v>
      </c>
      <c r="O86" s="496">
        <v>0.98629999999999995</v>
      </c>
      <c r="P86" s="491" t="s">
        <v>546</v>
      </c>
    </row>
    <row r="87" spans="1:16" ht="45">
      <c r="A87" s="487">
        <v>78</v>
      </c>
      <c r="B87" s="487" t="s">
        <v>95</v>
      </c>
      <c r="C87" s="487">
        <v>10777</v>
      </c>
      <c r="D87" s="499" t="s">
        <v>259</v>
      </c>
      <c r="E87" s="487" t="s">
        <v>256</v>
      </c>
      <c r="F87" s="487" t="s">
        <v>257</v>
      </c>
      <c r="G87" s="487">
        <v>3</v>
      </c>
      <c r="H87" s="487"/>
      <c r="I87" s="494">
        <v>979.29</v>
      </c>
      <c r="J87" s="494"/>
      <c r="K87" s="494">
        <v>2937.87</v>
      </c>
      <c r="L87" s="494"/>
      <c r="M87" s="494">
        <v>2937.87</v>
      </c>
      <c r="N87" s="497">
        <v>5.0000000000000001E-4</v>
      </c>
      <c r="O87" s="497">
        <v>0.98680000000000001</v>
      </c>
      <c r="P87" s="491" t="s">
        <v>546</v>
      </c>
    </row>
    <row r="88" spans="1:16" ht="45">
      <c r="A88" s="488">
        <v>79</v>
      </c>
      <c r="B88" s="488" t="s">
        <v>95</v>
      </c>
      <c r="C88" s="488">
        <v>36484</v>
      </c>
      <c r="D88" s="498" t="s">
        <v>737</v>
      </c>
      <c r="E88" s="488" t="s">
        <v>256</v>
      </c>
      <c r="F88" s="488" t="s">
        <v>262</v>
      </c>
      <c r="G88" s="488">
        <v>1.18256E-2</v>
      </c>
      <c r="H88" s="488"/>
      <c r="I88" s="493">
        <v>246246.87</v>
      </c>
      <c r="J88" s="493"/>
      <c r="K88" s="493">
        <v>2912.02</v>
      </c>
      <c r="L88" s="493"/>
      <c r="M88" s="493">
        <v>2912.02</v>
      </c>
      <c r="N88" s="496">
        <v>5.0000000000000001E-4</v>
      </c>
      <c r="O88" s="496">
        <v>0.98719999999999997</v>
      </c>
      <c r="P88" s="491" t="s">
        <v>546</v>
      </c>
    </row>
    <row r="89" spans="1:16" ht="15">
      <c r="A89" s="487">
        <v>80</v>
      </c>
      <c r="B89" s="487" t="s">
        <v>263</v>
      </c>
      <c r="C89" s="487" t="s">
        <v>738</v>
      </c>
      <c r="D89" s="499" t="s">
        <v>739</v>
      </c>
      <c r="E89" s="487" t="s">
        <v>664</v>
      </c>
      <c r="F89" s="487" t="s">
        <v>740</v>
      </c>
      <c r="G89" s="487">
        <v>149.5891508</v>
      </c>
      <c r="H89" s="487"/>
      <c r="I89" s="494">
        <v>19.07</v>
      </c>
      <c r="J89" s="494"/>
      <c r="K89" s="494">
        <v>2852.23</v>
      </c>
      <c r="L89" s="494"/>
      <c r="M89" s="494">
        <v>2852.23</v>
      </c>
      <c r="N89" s="497">
        <v>5.0000000000000001E-4</v>
      </c>
      <c r="O89" s="497">
        <v>0.98770000000000002</v>
      </c>
      <c r="P89" s="491" t="s">
        <v>546</v>
      </c>
    </row>
    <row r="90" spans="1:16" ht="15">
      <c r="A90" s="488">
        <v>81</v>
      </c>
      <c r="B90" s="488" t="s">
        <v>95</v>
      </c>
      <c r="C90" s="488">
        <v>34</v>
      </c>
      <c r="D90" s="498" t="s">
        <v>741</v>
      </c>
      <c r="E90" s="488" t="s">
        <v>284</v>
      </c>
      <c r="F90" s="488" t="s">
        <v>285</v>
      </c>
      <c r="G90" s="488">
        <v>356.67814499999997</v>
      </c>
      <c r="H90" s="488"/>
      <c r="I90" s="493">
        <v>7.78</v>
      </c>
      <c r="J90" s="493"/>
      <c r="K90" s="493">
        <v>2774.96</v>
      </c>
      <c r="L90" s="493"/>
      <c r="M90" s="493">
        <v>2774.96</v>
      </c>
      <c r="N90" s="496">
        <v>5.0000000000000001E-4</v>
      </c>
      <c r="O90" s="496">
        <v>0.98819999999999997</v>
      </c>
      <c r="P90" s="491" t="s">
        <v>546</v>
      </c>
    </row>
    <row r="91" spans="1:16" ht="45">
      <c r="A91" s="487">
        <v>82</v>
      </c>
      <c r="B91" s="487" t="s">
        <v>95</v>
      </c>
      <c r="C91" s="487">
        <v>1358</v>
      </c>
      <c r="D91" s="499" t="s">
        <v>742</v>
      </c>
      <c r="E91" s="487" t="s">
        <v>284</v>
      </c>
      <c r="F91" s="487" t="s">
        <v>97</v>
      </c>
      <c r="G91" s="487">
        <v>48.695108900000001</v>
      </c>
      <c r="H91" s="487"/>
      <c r="I91" s="494">
        <v>54.11</v>
      </c>
      <c r="J91" s="494"/>
      <c r="K91" s="494">
        <v>2634.89</v>
      </c>
      <c r="L91" s="494"/>
      <c r="M91" s="494">
        <v>2634.89</v>
      </c>
      <c r="N91" s="497">
        <v>4.0000000000000002E-4</v>
      </c>
      <c r="O91" s="497">
        <v>0.98860000000000003</v>
      </c>
      <c r="P91" s="491" t="s">
        <v>546</v>
      </c>
    </row>
    <row r="92" spans="1:16" ht="45">
      <c r="A92" s="488">
        <v>83</v>
      </c>
      <c r="B92" s="488" t="s">
        <v>95</v>
      </c>
      <c r="C92" s="488">
        <v>10775</v>
      </c>
      <c r="D92" s="498" t="s">
        <v>255</v>
      </c>
      <c r="E92" s="488" t="s">
        <v>256</v>
      </c>
      <c r="F92" s="488" t="s">
        <v>257</v>
      </c>
      <c r="G92" s="488">
        <v>3</v>
      </c>
      <c r="H92" s="488"/>
      <c r="I92" s="493">
        <v>862.5</v>
      </c>
      <c r="J92" s="493"/>
      <c r="K92" s="493">
        <v>2587.5</v>
      </c>
      <c r="L92" s="493"/>
      <c r="M92" s="493">
        <v>2587.5</v>
      </c>
      <c r="N92" s="496">
        <v>4.0000000000000002E-4</v>
      </c>
      <c r="O92" s="496">
        <v>0.98909999999999998</v>
      </c>
      <c r="P92" s="491" t="s">
        <v>546</v>
      </c>
    </row>
    <row r="93" spans="1:16" ht="15">
      <c r="A93" s="487">
        <v>84</v>
      </c>
      <c r="B93" s="487" t="s">
        <v>95</v>
      </c>
      <c r="C93" s="487">
        <v>5068</v>
      </c>
      <c r="D93" s="499" t="s">
        <v>743</v>
      </c>
      <c r="E93" s="487" t="s">
        <v>284</v>
      </c>
      <c r="F93" s="487" t="s">
        <v>285</v>
      </c>
      <c r="G93" s="487">
        <v>133.12799999999999</v>
      </c>
      <c r="H93" s="487"/>
      <c r="I93" s="494">
        <v>19.04</v>
      </c>
      <c r="J93" s="494"/>
      <c r="K93" s="494">
        <v>2534.7600000000002</v>
      </c>
      <c r="L93" s="494"/>
      <c r="M93" s="494">
        <v>2534.7600000000002</v>
      </c>
      <c r="N93" s="497">
        <v>4.0000000000000002E-4</v>
      </c>
      <c r="O93" s="497">
        <v>0.98950000000000005</v>
      </c>
      <c r="P93" s="491" t="s">
        <v>546</v>
      </c>
    </row>
    <row r="94" spans="1:16" ht="15">
      <c r="A94" s="488">
        <v>85</v>
      </c>
      <c r="B94" s="488" t="s">
        <v>95</v>
      </c>
      <c r="C94" s="488">
        <v>44500</v>
      </c>
      <c r="D94" s="498" t="s">
        <v>744</v>
      </c>
      <c r="E94" s="488" t="s">
        <v>664</v>
      </c>
      <c r="F94" s="488" t="s">
        <v>720</v>
      </c>
      <c r="G94" s="488">
        <v>128.0232537</v>
      </c>
      <c r="H94" s="488"/>
      <c r="I94" s="493">
        <v>17.46</v>
      </c>
      <c r="J94" s="493"/>
      <c r="K94" s="493">
        <v>2235.29</v>
      </c>
      <c r="L94" s="493"/>
      <c r="M94" s="493">
        <v>2235.29</v>
      </c>
      <c r="N94" s="496">
        <v>4.0000000000000002E-4</v>
      </c>
      <c r="O94" s="496">
        <v>0.9899</v>
      </c>
      <c r="P94" s="491" t="s">
        <v>546</v>
      </c>
    </row>
    <row r="95" spans="1:16" ht="30">
      <c r="A95" s="487">
        <v>86</v>
      </c>
      <c r="B95" s="487" t="s">
        <v>95</v>
      </c>
      <c r="C95" s="487">
        <v>13726</v>
      </c>
      <c r="D95" s="499" t="s">
        <v>745</v>
      </c>
      <c r="E95" s="487" t="s">
        <v>256</v>
      </c>
      <c r="F95" s="487" t="s">
        <v>262</v>
      </c>
      <c r="G95" s="487">
        <v>3.0625599999999999E-2</v>
      </c>
      <c r="H95" s="487"/>
      <c r="I95" s="494">
        <v>68954.080000000002</v>
      </c>
      <c r="J95" s="494"/>
      <c r="K95" s="494">
        <v>2111.7600000000002</v>
      </c>
      <c r="L95" s="494"/>
      <c r="M95" s="494">
        <v>2111.7600000000002</v>
      </c>
      <c r="N95" s="497">
        <v>4.0000000000000002E-4</v>
      </c>
      <c r="O95" s="497">
        <v>0.99019999999999997</v>
      </c>
      <c r="P95" s="491" t="s">
        <v>546</v>
      </c>
    </row>
    <row r="96" spans="1:16" ht="45">
      <c r="A96" s="488">
        <v>87</v>
      </c>
      <c r="B96" s="488" t="s">
        <v>95</v>
      </c>
      <c r="C96" s="488">
        <v>10776</v>
      </c>
      <c r="D96" s="498" t="s">
        <v>258</v>
      </c>
      <c r="E96" s="488" t="s">
        <v>256</v>
      </c>
      <c r="F96" s="488" t="s">
        <v>257</v>
      </c>
      <c r="G96" s="488">
        <v>3</v>
      </c>
      <c r="H96" s="488"/>
      <c r="I96" s="493">
        <v>673.82</v>
      </c>
      <c r="J96" s="493"/>
      <c r="K96" s="493">
        <v>2021.46</v>
      </c>
      <c r="L96" s="493"/>
      <c r="M96" s="493">
        <v>2021.46</v>
      </c>
      <c r="N96" s="496">
        <v>2.9999999999999997E-4</v>
      </c>
      <c r="O96" s="496">
        <v>0.99060000000000004</v>
      </c>
      <c r="P96" s="491" t="s">
        <v>546</v>
      </c>
    </row>
    <row r="97" spans="1:16" ht="30">
      <c r="A97" s="487">
        <v>88</v>
      </c>
      <c r="B97" s="487" t="s">
        <v>95</v>
      </c>
      <c r="C97" s="487">
        <v>43386</v>
      </c>
      <c r="D97" s="499" t="s">
        <v>746</v>
      </c>
      <c r="E97" s="487" t="s">
        <v>284</v>
      </c>
      <c r="F97" s="487" t="s">
        <v>747</v>
      </c>
      <c r="G97" s="487">
        <v>44</v>
      </c>
      <c r="H97" s="487"/>
      <c r="I97" s="494">
        <v>45.6</v>
      </c>
      <c r="J97" s="494"/>
      <c r="K97" s="494">
        <v>2006.4</v>
      </c>
      <c r="L97" s="494"/>
      <c r="M97" s="494">
        <v>2006.4</v>
      </c>
      <c r="N97" s="497">
        <v>2.9999999999999997E-4</v>
      </c>
      <c r="O97" s="497">
        <v>0.9909</v>
      </c>
      <c r="P97" s="491" t="s">
        <v>546</v>
      </c>
    </row>
    <row r="98" spans="1:16" ht="15">
      <c r="A98" s="488">
        <v>89</v>
      </c>
      <c r="B98" s="488" t="s">
        <v>95</v>
      </c>
      <c r="C98" s="488">
        <v>11161</v>
      </c>
      <c r="D98" s="498" t="s">
        <v>748</v>
      </c>
      <c r="E98" s="488" t="s">
        <v>284</v>
      </c>
      <c r="F98" s="488" t="s">
        <v>285</v>
      </c>
      <c r="G98" s="488">
        <v>587.75198</v>
      </c>
      <c r="H98" s="488"/>
      <c r="I98" s="493">
        <v>3.34</v>
      </c>
      <c r="J98" s="493"/>
      <c r="K98" s="493">
        <v>1963.09</v>
      </c>
      <c r="L98" s="493"/>
      <c r="M98" s="493">
        <v>1963.09</v>
      </c>
      <c r="N98" s="496">
        <v>2.9999999999999997E-4</v>
      </c>
      <c r="O98" s="496">
        <v>0.99119999999999997</v>
      </c>
      <c r="P98" s="491" t="s">
        <v>546</v>
      </c>
    </row>
    <row r="99" spans="1:16" ht="30">
      <c r="A99" s="487">
        <v>90</v>
      </c>
      <c r="B99" s="487" t="s">
        <v>95</v>
      </c>
      <c r="C99" s="487">
        <v>41898</v>
      </c>
      <c r="D99" s="499" t="s">
        <v>749</v>
      </c>
      <c r="E99" s="487" t="s">
        <v>256</v>
      </c>
      <c r="F99" s="487" t="s">
        <v>262</v>
      </c>
      <c r="G99" s="487">
        <v>7.8798599999999996E-2</v>
      </c>
      <c r="H99" s="487"/>
      <c r="I99" s="494">
        <v>23936.5</v>
      </c>
      <c r="J99" s="494"/>
      <c r="K99" s="494">
        <v>1886.16</v>
      </c>
      <c r="L99" s="494"/>
      <c r="M99" s="494">
        <v>1886.16</v>
      </c>
      <c r="N99" s="497">
        <v>2.9999999999999997E-4</v>
      </c>
      <c r="O99" s="497">
        <v>0.99150000000000005</v>
      </c>
      <c r="P99" s="491" t="s">
        <v>546</v>
      </c>
    </row>
    <row r="100" spans="1:16" ht="15">
      <c r="A100" s="488">
        <v>91</v>
      </c>
      <c r="B100" s="488" t="s">
        <v>263</v>
      </c>
      <c r="C100" s="488" t="s">
        <v>750</v>
      </c>
      <c r="D100" s="498" t="s">
        <v>751</v>
      </c>
      <c r="E100" s="488" t="s">
        <v>284</v>
      </c>
      <c r="F100" s="488" t="s">
        <v>31</v>
      </c>
      <c r="G100" s="488">
        <v>10.35</v>
      </c>
      <c r="H100" s="488"/>
      <c r="I100" s="493">
        <v>179.82</v>
      </c>
      <c r="J100" s="493"/>
      <c r="K100" s="493">
        <v>1861.18</v>
      </c>
      <c r="L100" s="493"/>
      <c r="M100" s="493">
        <v>1861.18</v>
      </c>
      <c r="N100" s="496">
        <v>2.9999999999999997E-4</v>
      </c>
      <c r="O100" s="496">
        <v>0.9919</v>
      </c>
      <c r="P100" s="491" t="s">
        <v>546</v>
      </c>
    </row>
    <row r="101" spans="1:16" ht="30">
      <c r="A101" s="487">
        <v>92</v>
      </c>
      <c r="B101" s="487" t="s">
        <v>95</v>
      </c>
      <c r="C101" s="487">
        <v>4491</v>
      </c>
      <c r="D101" s="499" t="s">
        <v>752</v>
      </c>
      <c r="E101" s="487" t="s">
        <v>284</v>
      </c>
      <c r="F101" s="487" t="s">
        <v>107</v>
      </c>
      <c r="G101" s="487">
        <v>159.3991508</v>
      </c>
      <c r="H101" s="487"/>
      <c r="I101" s="494">
        <v>10.220000000000001</v>
      </c>
      <c r="J101" s="494"/>
      <c r="K101" s="494">
        <v>1629.06</v>
      </c>
      <c r="L101" s="494"/>
      <c r="M101" s="494">
        <v>1629.06</v>
      </c>
      <c r="N101" s="497">
        <v>2.9999999999999997E-4</v>
      </c>
      <c r="O101" s="497">
        <v>0.99209999999999998</v>
      </c>
      <c r="P101" s="491" t="s">
        <v>546</v>
      </c>
    </row>
    <row r="102" spans="1:16" ht="15">
      <c r="A102" s="488">
        <v>93</v>
      </c>
      <c r="B102" s="488" t="s">
        <v>263</v>
      </c>
      <c r="C102" s="488" t="s">
        <v>753</v>
      </c>
      <c r="D102" s="498" t="s">
        <v>754</v>
      </c>
      <c r="E102" s="488" t="s">
        <v>284</v>
      </c>
      <c r="F102" s="488" t="s">
        <v>588</v>
      </c>
      <c r="G102" s="488">
        <v>4.31928</v>
      </c>
      <c r="H102" s="488"/>
      <c r="I102" s="493">
        <v>365.25</v>
      </c>
      <c r="J102" s="493"/>
      <c r="K102" s="493">
        <v>1577.6</v>
      </c>
      <c r="L102" s="493"/>
      <c r="M102" s="493">
        <v>1577.6</v>
      </c>
      <c r="N102" s="496">
        <v>2.9999999999999997E-4</v>
      </c>
      <c r="O102" s="496">
        <v>0.99239999999999995</v>
      </c>
      <c r="P102" s="491" t="s">
        <v>546</v>
      </c>
    </row>
    <row r="103" spans="1:16" ht="15">
      <c r="A103" s="487">
        <v>94</v>
      </c>
      <c r="B103" s="487" t="s">
        <v>95</v>
      </c>
      <c r="C103" s="487">
        <v>37373</v>
      </c>
      <c r="D103" s="499" t="s">
        <v>755</v>
      </c>
      <c r="E103" s="487" t="s">
        <v>756</v>
      </c>
      <c r="F103" s="487" t="s">
        <v>244</v>
      </c>
      <c r="G103" s="487">
        <v>38580.625319999999</v>
      </c>
      <c r="H103" s="487"/>
      <c r="I103" s="494">
        <v>0.04</v>
      </c>
      <c r="J103" s="494"/>
      <c r="K103" s="494">
        <v>1543.23</v>
      </c>
      <c r="L103" s="494"/>
      <c r="M103" s="494">
        <v>1543.23</v>
      </c>
      <c r="N103" s="497">
        <v>2.9999999999999997E-4</v>
      </c>
      <c r="O103" s="497">
        <v>0.99270000000000003</v>
      </c>
      <c r="P103" s="491" t="s">
        <v>546</v>
      </c>
    </row>
    <row r="104" spans="1:16" ht="45">
      <c r="A104" s="488">
        <v>95</v>
      </c>
      <c r="B104" s="488" t="s">
        <v>95</v>
      </c>
      <c r="C104" s="488">
        <v>44058</v>
      </c>
      <c r="D104" s="498" t="s">
        <v>757</v>
      </c>
      <c r="E104" s="488" t="s">
        <v>256</v>
      </c>
      <c r="F104" s="488" t="s">
        <v>747</v>
      </c>
      <c r="G104" s="488">
        <v>2.8392000000000001E-3</v>
      </c>
      <c r="H104" s="488"/>
      <c r="I104" s="493">
        <v>539594.59</v>
      </c>
      <c r="J104" s="493"/>
      <c r="K104" s="493">
        <v>1532.02</v>
      </c>
      <c r="L104" s="493"/>
      <c r="M104" s="493">
        <v>1532.02</v>
      </c>
      <c r="N104" s="496">
        <v>2.9999999999999997E-4</v>
      </c>
      <c r="O104" s="496">
        <v>0.9929</v>
      </c>
      <c r="P104" s="491" t="s">
        <v>546</v>
      </c>
    </row>
    <row r="105" spans="1:16" ht="15">
      <c r="A105" s="487">
        <v>96</v>
      </c>
      <c r="B105" s="487" t="s">
        <v>95</v>
      </c>
      <c r="C105" s="487">
        <v>43055</v>
      </c>
      <c r="D105" s="499" t="s">
        <v>758</v>
      </c>
      <c r="E105" s="487" t="s">
        <v>284</v>
      </c>
      <c r="F105" s="487" t="s">
        <v>710</v>
      </c>
      <c r="G105" s="487">
        <v>226.64645999999999</v>
      </c>
      <c r="H105" s="487"/>
      <c r="I105" s="494">
        <v>6.74</v>
      </c>
      <c r="J105" s="494"/>
      <c r="K105" s="494">
        <v>1527.6</v>
      </c>
      <c r="L105" s="494"/>
      <c r="M105" s="494">
        <v>1527.6</v>
      </c>
      <c r="N105" s="497">
        <v>2.9999999999999997E-4</v>
      </c>
      <c r="O105" s="497">
        <v>0.99319999999999997</v>
      </c>
      <c r="P105" s="491" t="s">
        <v>546</v>
      </c>
    </row>
    <row r="106" spans="1:16" ht="30">
      <c r="A106" s="488">
        <v>97</v>
      </c>
      <c r="B106" s="488" t="s">
        <v>95</v>
      </c>
      <c r="C106" s="488">
        <v>4813</v>
      </c>
      <c r="D106" s="498" t="s">
        <v>759</v>
      </c>
      <c r="E106" s="488" t="s">
        <v>284</v>
      </c>
      <c r="F106" s="488" t="s">
        <v>97</v>
      </c>
      <c r="G106" s="488">
        <v>6</v>
      </c>
      <c r="H106" s="488"/>
      <c r="I106" s="493">
        <v>250</v>
      </c>
      <c r="J106" s="493"/>
      <c r="K106" s="493">
        <v>1500</v>
      </c>
      <c r="L106" s="493"/>
      <c r="M106" s="493">
        <v>1500</v>
      </c>
      <c r="N106" s="496">
        <v>2.9999999999999997E-4</v>
      </c>
      <c r="O106" s="496">
        <v>0.99339999999999995</v>
      </c>
      <c r="P106" s="491" t="s">
        <v>546</v>
      </c>
    </row>
    <row r="107" spans="1:16" ht="15">
      <c r="A107" s="487">
        <v>98</v>
      </c>
      <c r="B107" s="487" t="s">
        <v>263</v>
      </c>
      <c r="C107" s="487" t="s">
        <v>760</v>
      </c>
      <c r="D107" s="499" t="s">
        <v>761</v>
      </c>
      <c r="E107" s="487" t="s">
        <v>284</v>
      </c>
      <c r="F107" s="487" t="s">
        <v>31</v>
      </c>
      <c r="G107" s="487">
        <v>8.5838090000000005</v>
      </c>
      <c r="H107" s="487"/>
      <c r="I107" s="494">
        <v>170.67</v>
      </c>
      <c r="J107" s="494"/>
      <c r="K107" s="494">
        <v>1464.97</v>
      </c>
      <c r="L107" s="494"/>
      <c r="M107" s="494">
        <v>1464.97</v>
      </c>
      <c r="N107" s="497">
        <v>2.0000000000000001E-4</v>
      </c>
      <c r="O107" s="497">
        <v>0.99370000000000003</v>
      </c>
      <c r="P107" s="491" t="s">
        <v>546</v>
      </c>
    </row>
    <row r="108" spans="1:16" ht="30">
      <c r="A108" s="488">
        <v>99</v>
      </c>
      <c r="B108" s="488" t="s">
        <v>95</v>
      </c>
      <c r="C108" s="488">
        <v>3318</v>
      </c>
      <c r="D108" s="498" t="s">
        <v>762</v>
      </c>
      <c r="E108" s="488" t="s">
        <v>256</v>
      </c>
      <c r="F108" s="488" t="s">
        <v>262</v>
      </c>
      <c r="G108" s="488">
        <v>2.82192E-2</v>
      </c>
      <c r="H108" s="488"/>
      <c r="I108" s="493">
        <v>51000</v>
      </c>
      <c r="J108" s="493"/>
      <c r="K108" s="493">
        <v>1439.18</v>
      </c>
      <c r="L108" s="493"/>
      <c r="M108" s="493">
        <v>1439.18</v>
      </c>
      <c r="N108" s="496">
        <v>2.0000000000000001E-4</v>
      </c>
      <c r="O108" s="496">
        <v>0.99390000000000001</v>
      </c>
      <c r="P108" s="491" t="s">
        <v>546</v>
      </c>
    </row>
    <row r="109" spans="1:16" ht="15">
      <c r="A109" s="487">
        <v>100</v>
      </c>
      <c r="B109" s="487" t="s">
        <v>95</v>
      </c>
      <c r="C109" s="487">
        <v>39995</v>
      </c>
      <c r="D109" s="499" t="s">
        <v>763</v>
      </c>
      <c r="E109" s="487" t="s">
        <v>284</v>
      </c>
      <c r="F109" s="487" t="s">
        <v>114</v>
      </c>
      <c r="G109" s="487">
        <v>2.4160957000000001</v>
      </c>
      <c r="H109" s="487"/>
      <c r="I109" s="494">
        <v>586.86</v>
      </c>
      <c r="J109" s="494"/>
      <c r="K109" s="494">
        <v>1417.91</v>
      </c>
      <c r="L109" s="494"/>
      <c r="M109" s="494">
        <v>1417.91</v>
      </c>
      <c r="N109" s="497">
        <v>2.0000000000000001E-4</v>
      </c>
      <c r="O109" s="497">
        <v>0.99409999999999998</v>
      </c>
      <c r="P109" s="491" t="s">
        <v>546</v>
      </c>
    </row>
    <row r="110" spans="1:16" ht="30">
      <c r="A110" s="488">
        <v>101</v>
      </c>
      <c r="B110" s="488" t="s">
        <v>95</v>
      </c>
      <c r="C110" s="488">
        <v>44478</v>
      </c>
      <c r="D110" s="498" t="s">
        <v>764</v>
      </c>
      <c r="E110" s="488" t="s">
        <v>284</v>
      </c>
      <c r="F110" s="488" t="s">
        <v>710</v>
      </c>
      <c r="G110" s="488">
        <v>94.967950000000002</v>
      </c>
      <c r="H110" s="488"/>
      <c r="I110" s="493">
        <v>14.58</v>
      </c>
      <c r="J110" s="493"/>
      <c r="K110" s="493">
        <v>1384.63</v>
      </c>
      <c r="L110" s="493"/>
      <c r="M110" s="493">
        <v>1384.63</v>
      </c>
      <c r="N110" s="496">
        <v>2.0000000000000001E-4</v>
      </c>
      <c r="O110" s="496">
        <v>0.99439999999999995</v>
      </c>
      <c r="P110" s="491" t="s">
        <v>546</v>
      </c>
    </row>
    <row r="111" spans="1:16" ht="45">
      <c r="A111" s="487">
        <v>102</v>
      </c>
      <c r="B111" s="487" t="s">
        <v>95</v>
      </c>
      <c r="C111" s="487">
        <v>37743</v>
      </c>
      <c r="D111" s="499" t="s">
        <v>765</v>
      </c>
      <c r="E111" s="487" t="s">
        <v>256</v>
      </c>
      <c r="F111" s="487" t="s">
        <v>262</v>
      </c>
      <c r="G111" s="487">
        <v>6.352E-3</v>
      </c>
      <c r="H111" s="487"/>
      <c r="I111" s="494">
        <v>213383.28</v>
      </c>
      <c r="J111" s="494"/>
      <c r="K111" s="494">
        <v>1355.41</v>
      </c>
      <c r="L111" s="494"/>
      <c r="M111" s="494">
        <v>1355.41</v>
      </c>
      <c r="N111" s="497">
        <v>2.0000000000000001E-4</v>
      </c>
      <c r="O111" s="497">
        <v>0.99460000000000004</v>
      </c>
      <c r="P111" s="491" t="s">
        <v>546</v>
      </c>
    </row>
    <row r="112" spans="1:16" ht="30">
      <c r="A112" s="488">
        <v>103</v>
      </c>
      <c r="B112" s="488" t="s">
        <v>95</v>
      </c>
      <c r="C112" s="488">
        <v>43483</v>
      </c>
      <c r="D112" s="498" t="s">
        <v>766</v>
      </c>
      <c r="E112" s="488" t="s">
        <v>256</v>
      </c>
      <c r="F112" s="488" t="s">
        <v>244</v>
      </c>
      <c r="G112" s="488">
        <v>921.87920980000001</v>
      </c>
      <c r="H112" s="488"/>
      <c r="I112" s="493">
        <v>1.43</v>
      </c>
      <c r="J112" s="493"/>
      <c r="K112" s="493">
        <v>1318.29</v>
      </c>
      <c r="L112" s="493"/>
      <c r="M112" s="493">
        <v>1318.29</v>
      </c>
      <c r="N112" s="496">
        <v>2.0000000000000001E-4</v>
      </c>
      <c r="O112" s="496">
        <v>0.99480000000000002</v>
      </c>
      <c r="P112" s="491" t="s">
        <v>546</v>
      </c>
    </row>
    <row r="113" spans="1:16" ht="15">
      <c r="A113" s="487">
        <v>104</v>
      </c>
      <c r="B113" s="487" t="s">
        <v>95</v>
      </c>
      <c r="C113" s="487">
        <v>4096</v>
      </c>
      <c r="D113" s="499" t="s">
        <v>767</v>
      </c>
      <c r="E113" s="487" t="s">
        <v>664</v>
      </c>
      <c r="F113" s="487" t="s">
        <v>244</v>
      </c>
      <c r="G113" s="487">
        <v>67.259484599999993</v>
      </c>
      <c r="H113" s="487"/>
      <c r="I113" s="494">
        <v>19.489999999999998</v>
      </c>
      <c r="J113" s="494"/>
      <c r="K113" s="494">
        <v>1310.89</v>
      </c>
      <c r="L113" s="494"/>
      <c r="M113" s="494">
        <v>1310.89</v>
      </c>
      <c r="N113" s="497">
        <v>2.0000000000000001E-4</v>
      </c>
      <c r="O113" s="497">
        <v>0.995</v>
      </c>
      <c r="P113" s="491" t="s">
        <v>546</v>
      </c>
    </row>
    <row r="114" spans="1:16" ht="75">
      <c r="A114" s="488">
        <v>105</v>
      </c>
      <c r="B114" s="488" t="s">
        <v>95</v>
      </c>
      <c r="C114" s="488">
        <v>36531</v>
      </c>
      <c r="D114" s="498" t="s">
        <v>768</v>
      </c>
      <c r="E114" s="488" t="s">
        <v>256</v>
      </c>
      <c r="F114" s="488" t="s">
        <v>262</v>
      </c>
      <c r="G114" s="488">
        <v>2.4987999999999998E-3</v>
      </c>
      <c r="H114" s="488"/>
      <c r="I114" s="493">
        <v>518292.65</v>
      </c>
      <c r="J114" s="493"/>
      <c r="K114" s="493">
        <v>1295.1099999999999</v>
      </c>
      <c r="L114" s="493"/>
      <c r="M114" s="493">
        <v>1295.1099999999999</v>
      </c>
      <c r="N114" s="496">
        <v>2.0000000000000001E-4</v>
      </c>
      <c r="O114" s="496">
        <v>0.99529999999999996</v>
      </c>
      <c r="P114" s="491" t="s">
        <v>546</v>
      </c>
    </row>
    <row r="115" spans="1:16" ht="15">
      <c r="A115" s="487">
        <v>106</v>
      </c>
      <c r="B115" s="487" t="s">
        <v>263</v>
      </c>
      <c r="C115" s="487" t="s">
        <v>769</v>
      </c>
      <c r="D115" s="499" t="s">
        <v>770</v>
      </c>
      <c r="E115" s="487" t="s">
        <v>664</v>
      </c>
      <c r="F115" s="487" t="s">
        <v>740</v>
      </c>
      <c r="G115" s="487">
        <v>52.335000000000001</v>
      </c>
      <c r="H115" s="487"/>
      <c r="I115" s="494">
        <v>24.31</v>
      </c>
      <c r="J115" s="494"/>
      <c r="K115" s="494">
        <v>1272.1099999999999</v>
      </c>
      <c r="L115" s="494"/>
      <c r="M115" s="494">
        <v>1272.1099999999999</v>
      </c>
      <c r="N115" s="497">
        <v>2.0000000000000001E-4</v>
      </c>
      <c r="O115" s="497">
        <v>0.99550000000000005</v>
      </c>
      <c r="P115" s="491" t="s">
        <v>546</v>
      </c>
    </row>
    <row r="116" spans="1:16" ht="30">
      <c r="A116" s="488">
        <v>107</v>
      </c>
      <c r="B116" s="488" t="s">
        <v>95</v>
      </c>
      <c r="C116" s="488">
        <v>13458</v>
      </c>
      <c r="D116" s="498" t="s">
        <v>771</v>
      </c>
      <c r="E116" s="488" t="s">
        <v>256</v>
      </c>
      <c r="F116" s="488" t="s">
        <v>262</v>
      </c>
      <c r="G116" s="488">
        <v>8.5668999999999995E-2</v>
      </c>
      <c r="H116" s="488"/>
      <c r="I116" s="493">
        <v>14199.81</v>
      </c>
      <c r="J116" s="493"/>
      <c r="K116" s="493">
        <v>1216.48</v>
      </c>
      <c r="L116" s="493"/>
      <c r="M116" s="493">
        <v>1216.48</v>
      </c>
      <c r="N116" s="496">
        <v>2.0000000000000001E-4</v>
      </c>
      <c r="O116" s="496">
        <v>0.99570000000000003</v>
      </c>
      <c r="P116" s="491" t="s">
        <v>546</v>
      </c>
    </row>
    <row r="117" spans="1:16" ht="30">
      <c r="A117" s="487">
        <v>108</v>
      </c>
      <c r="B117" s="487" t="s">
        <v>95</v>
      </c>
      <c r="C117" s="487">
        <v>43132</v>
      </c>
      <c r="D117" s="499" t="s">
        <v>772</v>
      </c>
      <c r="E117" s="487" t="s">
        <v>284</v>
      </c>
      <c r="F117" s="487" t="s">
        <v>710</v>
      </c>
      <c r="G117" s="487">
        <v>48.679743600000002</v>
      </c>
      <c r="H117" s="487"/>
      <c r="I117" s="494">
        <v>24.77</v>
      </c>
      <c r="J117" s="494"/>
      <c r="K117" s="494">
        <v>1205.8</v>
      </c>
      <c r="L117" s="494"/>
      <c r="M117" s="494">
        <v>1205.8</v>
      </c>
      <c r="N117" s="497">
        <v>2.0000000000000001E-4</v>
      </c>
      <c r="O117" s="497">
        <v>0.99590000000000001</v>
      </c>
      <c r="P117" s="491" t="s">
        <v>546</v>
      </c>
    </row>
    <row r="118" spans="1:16" ht="30">
      <c r="A118" s="488">
        <v>109</v>
      </c>
      <c r="B118" s="488" t="s">
        <v>95</v>
      </c>
      <c r="C118" s="488">
        <v>6193</v>
      </c>
      <c r="D118" s="498" t="s">
        <v>773</v>
      </c>
      <c r="E118" s="488" t="s">
        <v>284</v>
      </c>
      <c r="F118" s="488" t="s">
        <v>107</v>
      </c>
      <c r="G118" s="488">
        <v>70.090199999999996</v>
      </c>
      <c r="H118" s="488"/>
      <c r="I118" s="493">
        <v>16.95</v>
      </c>
      <c r="J118" s="493"/>
      <c r="K118" s="493">
        <v>1188.03</v>
      </c>
      <c r="L118" s="493"/>
      <c r="M118" s="493">
        <v>1188.03</v>
      </c>
      <c r="N118" s="496">
        <v>2.0000000000000001E-4</v>
      </c>
      <c r="O118" s="496">
        <v>0.99609999999999999</v>
      </c>
      <c r="P118" s="491" t="s">
        <v>546</v>
      </c>
    </row>
    <row r="119" spans="1:16" ht="60">
      <c r="A119" s="487">
        <v>110</v>
      </c>
      <c r="B119" s="487" t="s">
        <v>95</v>
      </c>
      <c r="C119" s="487">
        <v>3363</v>
      </c>
      <c r="D119" s="499" t="s">
        <v>774</v>
      </c>
      <c r="E119" s="487" t="s">
        <v>256</v>
      </c>
      <c r="F119" s="487" t="s">
        <v>262</v>
      </c>
      <c r="G119" s="487">
        <v>8.1575999999999992E-3</v>
      </c>
      <c r="H119" s="487"/>
      <c r="I119" s="494">
        <v>139625</v>
      </c>
      <c r="J119" s="494"/>
      <c r="K119" s="494">
        <v>1139</v>
      </c>
      <c r="L119" s="494"/>
      <c r="M119" s="494">
        <v>1139</v>
      </c>
      <c r="N119" s="497">
        <v>2.0000000000000001E-4</v>
      </c>
      <c r="O119" s="497">
        <v>0.99629999999999996</v>
      </c>
      <c r="P119" s="491" t="s">
        <v>546</v>
      </c>
    </row>
    <row r="120" spans="1:16" ht="15">
      <c r="A120" s="488">
        <v>111</v>
      </c>
      <c r="B120" s="488" t="s">
        <v>263</v>
      </c>
      <c r="C120" s="488" t="s">
        <v>775</v>
      </c>
      <c r="D120" s="498" t="s">
        <v>776</v>
      </c>
      <c r="E120" s="488" t="s">
        <v>664</v>
      </c>
      <c r="F120" s="488" t="s">
        <v>740</v>
      </c>
      <c r="G120" s="488">
        <v>54.720189900000001</v>
      </c>
      <c r="H120" s="488"/>
      <c r="I120" s="493">
        <v>20.2</v>
      </c>
      <c r="J120" s="493"/>
      <c r="K120" s="493">
        <v>1105.6099999999999</v>
      </c>
      <c r="L120" s="493"/>
      <c r="M120" s="493">
        <v>1105.6099999999999</v>
      </c>
      <c r="N120" s="496">
        <v>2.0000000000000001E-4</v>
      </c>
      <c r="O120" s="496">
        <v>0.99650000000000005</v>
      </c>
      <c r="P120" s="491" t="s">
        <v>546</v>
      </c>
    </row>
    <row r="121" spans="1:16" ht="15">
      <c r="A121" s="487">
        <v>112</v>
      </c>
      <c r="B121" s="487" t="s">
        <v>263</v>
      </c>
      <c r="C121" s="487" t="s">
        <v>777</v>
      </c>
      <c r="D121" s="499" t="s">
        <v>778</v>
      </c>
      <c r="E121" s="487" t="s">
        <v>284</v>
      </c>
      <c r="F121" s="487" t="s">
        <v>588</v>
      </c>
      <c r="G121" s="487">
        <v>23.510045000000002</v>
      </c>
      <c r="H121" s="487"/>
      <c r="I121" s="494">
        <v>46.8</v>
      </c>
      <c r="J121" s="494"/>
      <c r="K121" s="494">
        <v>1100.31</v>
      </c>
      <c r="L121" s="494"/>
      <c r="M121" s="494">
        <v>1100.31</v>
      </c>
      <c r="N121" s="497">
        <v>2.0000000000000001E-4</v>
      </c>
      <c r="O121" s="497">
        <v>0.99660000000000004</v>
      </c>
      <c r="P121" s="491" t="s">
        <v>546</v>
      </c>
    </row>
    <row r="122" spans="1:16" ht="45">
      <c r="A122" s="488">
        <v>113</v>
      </c>
      <c r="B122" s="488" t="s">
        <v>95</v>
      </c>
      <c r="C122" s="488">
        <v>43677</v>
      </c>
      <c r="D122" s="498" t="s">
        <v>779</v>
      </c>
      <c r="E122" s="488" t="s">
        <v>284</v>
      </c>
      <c r="F122" s="488" t="s">
        <v>780</v>
      </c>
      <c r="G122" s="488">
        <v>16.054344400000002</v>
      </c>
      <c r="H122" s="488"/>
      <c r="I122" s="493">
        <v>67.13</v>
      </c>
      <c r="J122" s="493"/>
      <c r="K122" s="493">
        <v>1077.73</v>
      </c>
      <c r="L122" s="493"/>
      <c r="M122" s="493">
        <v>1077.73</v>
      </c>
      <c r="N122" s="496">
        <v>2.0000000000000001E-4</v>
      </c>
      <c r="O122" s="496">
        <v>0.99680000000000002</v>
      </c>
      <c r="P122" s="491" t="s">
        <v>546</v>
      </c>
    </row>
    <row r="123" spans="1:16" ht="30">
      <c r="A123" s="487">
        <v>114</v>
      </c>
      <c r="B123" s="487" t="s">
        <v>95</v>
      </c>
      <c r="C123" s="487">
        <v>43466</v>
      </c>
      <c r="D123" s="499" t="s">
        <v>781</v>
      </c>
      <c r="E123" s="487" t="s">
        <v>256</v>
      </c>
      <c r="F123" s="487" t="s">
        <v>244</v>
      </c>
      <c r="G123" s="487">
        <v>500.05471</v>
      </c>
      <c r="H123" s="487"/>
      <c r="I123" s="494">
        <v>1.97</v>
      </c>
      <c r="J123" s="494"/>
      <c r="K123" s="494">
        <v>985.11</v>
      </c>
      <c r="L123" s="494"/>
      <c r="M123" s="494">
        <v>985.11</v>
      </c>
      <c r="N123" s="497">
        <v>2.0000000000000001E-4</v>
      </c>
      <c r="O123" s="497">
        <v>0.997</v>
      </c>
      <c r="P123" s="491" t="s">
        <v>546</v>
      </c>
    </row>
    <row r="124" spans="1:16" ht="15">
      <c r="A124" s="488">
        <v>115</v>
      </c>
      <c r="B124" s="488" t="s">
        <v>95</v>
      </c>
      <c r="C124" s="488">
        <v>44503</v>
      </c>
      <c r="D124" s="498" t="s">
        <v>782</v>
      </c>
      <c r="E124" s="488" t="s">
        <v>664</v>
      </c>
      <c r="F124" s="488" t="s">
        <v>720</v>
      </c>
      <c r="G124" s="488">
        <v>76.220540200000002</v>
      </c>
      <c r="H124" s="488"/>
      <c r="I124" s="493">
        <v>12.9</v>
      </c>
      <c r="J124" s="493"/>
      <c r="K124" s="493">
        <v>983.24</v>
      </c>
      <c r="L124" s="493"/>
      <c r="M124" s="493">
        <v>983.24</v>
      </c>
      <c r="N124" s="496">
        <v>2.0000000000000001E-4</v>
      </c>
      <c r="O124" s="496">
        <v>0.99719999999999998</v>
      </c>
      <c r="P124" s="491" t="s">
        <v>546</v>
      </c>
    </row>
    <row r="125" spans="1:16" ht="15">
      <c r="A125" s="487">
        <v>116</v>
      </c>
      <c r="B125" s="487" t="s">
        <v>263</v>
      </c>
      <c r="C125" s="487" t="s">
        <v>783</v>
      </c>
      <c r="D125" s="499" t="s">
        <v>784</v>
      </c>
      <c r="E125" s="487" t="s">
        <v>284</v>
      </c>
      <c r="F125" s="487" t="s">
        <v>31</v>
      </c>
      <c r="G125" s="487">
        <v>4.9813577999999996</v>
      </c>
      <c r="H125" s="487"/>
      <c r="I125" s="494">
        <v>186.62</v>
      </c>
      <c r="J125" s="494"/>
      <c r="K125" s="494">
        <v>929.61</v>
      </c>
      <c r="L125" s="494"/>
      <c r="M125" s="494">
        <v>929.61</v>
      </c>
      <c r="N125" s="497">
        <v>2.0000000000000001E-4</v>
      </c>
      <c r="O125" s="497">
        <v>0.99729999999999996</v>
      </c>
      <c r="P125" s="491" t="s">
        <v>546</v>
      </c>
    </row>
    <row r="126" spans="1:16" ht="15">
      <c r="A126" s="488">
        <v>117</v>
      </c>
      <c r="B126" s="488" t="s">
        <v>263</v>
      </c>
      <c r="C126" s="488" t="s">
        <v>785</v>
      </c>
      <c r="D126" s="498" t="s">
        <v>786</v>
      </c>
      <c r="E126" s="488" t="s">
        <v>284</v>
      </c>
      <c r="F126" s="488" t="s">
        <v>31</v>
      </c>
      <c r="G126" s="488">
        <v>4.9813577999999996</v>
      </c>
      <c r="H126" s="488"/>
      <c r="I126" s="493">
        <v>184.38</v>
      </c>
      <c r="J126" s="493"/>
      <c r="K126" s="493">
        <v>918.49</v>
      </c>
      <c r="L126" s="493"/>
      <c r="M126" s="493">
        <v>918.49</v>
      </c>
      <c r="N126" s="496">
        <v>2.0000000000000001E-4</v>
      </c>
      <c r="O126" s="496">
        <v>0.99750000000000005</v>
      </c>
      <c r="P126" s="491" t="s">
        <v>546</v>
      </c>
    </row>
    <row r="127" spans="1:16" ht="15">
      <c r="A127" s="487">
        <v>118</v>
      </c>
      <c r="B127" s="487" t="s">
        <v>95</v>
      </c>
      <c r="C127" s="487">
        <v>7592</v>
      </c>
      <c r="D127" s="499" t="s">
        <v>787</v>
      </c>
      <c r="E127" s="487" t="s">
        <v>664</v>
      </c>
      <c r="F127" s="487" t="s">
        <v>244</v>
      </c>
      <c r="G127" s="487">
        <v>33.964501599999998</v>
      </c>
      <c r="H127" s="487"/>
      <c r="I127" s="494">
        <v>26.42</v>
      </c>
      <c r="J127" s="494"/>
      <c r="K127" s="494">
        <v>897.34</v>
      </c>
      <c r="L127" s="494"/>
      <c r="M127" s="494">
        <v>897.34</v>
      </c>
      <c r="N127" s="497">
        <v>2.0000000000000001E-4</v>
      </c>
      <c r="O127" s="497">
        <v>0.99760000000000004</v>
      </c>
      <c r="P127" s="491" t="s">
        <v>546</v>
      </c>
    </row>
    <row r="128" spans="1:16" ht="30">
      <c r="A128" s="488">
        <v>119</v>
      </c>
      <c r="B128" s="488" t="s">
        <v>95</v>
      </c>
      <c r="C128" s="488">
        <v>367</v>
      </c>
      <c r="D128" s="498" t="s">
        <v>788</v>
      </c>
      <c r="E128" s="488" t="s">
        <v>284</v>
      </c>
      <c r="F128" s="488" t="s">
        <v>114</v>
      </c>
      <c r="G128" s="488">
        <v>9.1436810000000008</v>
      </c>
      <c r="H128" s="488"/>
      <c r="I128" s="493">
        <v>96.24</v>
      </c>
      <c r="J128" s="493"/>
      <c r="K128" s="493">
        <v>879.99</v>
      </c>
      <c r="L128" s="493"/>
      <c r="M128" s="493">
        <v>879.99</v>
      </c>
      <c r="N128" s="496">
        <v>1E-4</v>
      </c>
      <c r="O128" s="496">
        <v>0.99780000000000002</v>
      </c>
      <c r="P128" s="491" t="s">
        <v>546</v>
      </c>
    </row>
    <row r="129" spans="1:16" ht="30">
      <c r="A129" s="487">
        <v>120</v>
      </c>
      <c r="B129" s="487" t="s">
        <v>95</v>
      </c>
      <c r="C129" s="487">
        <v>43490</v>
      </c>
      <c r="D129" s="499" t="s">
        <v>789</v>
      </c>
      <c r="E129" s="487" t="s">
        <v>256</v>
      </c>
      <c r="F129" s="487" t="s">
        <v>244</v>
      </c>
      <c r="G129" s="487">
        <v>500.05471</v>
      </c>
      <c r="H129" s="487"/>
      <c r="I129" s="494">
        <v>1.73</v>
      </c>
      <c r="J129" s="494"/>
      <c r="K129" s="494">
        <v>865.09</v>
      </c>
      <c r="L129" s="494"/>
      <c r="M129" s="494">
        <v>865.09</v>
      </c>
      <c r="N129" s="497">
        <v>1E-4</v>
      </c>
      <c r="O129" s="497">
        <v>0.99790000000000001</v>
      </c>
      <c r="P129" s="491" t="s">
        <v>546</v>
      </c>
    </row>
    <row r="130" spans="1:16" ht="15">
      <c r="A130" s="488">
        <v>121</v>
      </c>
      <c r="B130" s="488" t="s">
        <v>95</v>
      </c>
      <c r="C130" s="488">
        <v>2705</v>
      </c>
      <c r="D130" s="498" t="s">
        <v>790</v>
      </c>
      <c r="E130" s="488" t="s">
        <v>284</v>
      </c>
      <c r="F130" s="488" t="s">
        <v>791</v>
      </c>
      <c r="G130" s="488">
        <v>721.38861429999997</v>
      </c>
      <c r="H130" s="488"/>
      <c r="I130" s="493">
        <v>1.17</v>
      </c>
      <c r="J130" s="493"/>
      <c r="K130" s="493">
        <v>844.02</v>
      </c>
      <c r="L130" s="493"/>
      <c r="M130" s="493">
        <v>844.02</v>
      </c>
      <c r="N130" s="496">
        <v>1E-4</v>
      </c>
      <c r="O130" s="496">
        <v>0.998</v>
      </c>
      <c r="P130" s="491" t="s">
        <v>546</v>
      </c>
    </row>
    <row r="131" spans="1:16" ht="30">
      <c r="A131" s="487">
        <v>122</v>
      </c>
      <c r="B131" s="487" t="s">
        <v>95</v>
      </c>
      <c r="C131" s="487">
        <v>43487</v>
      </c>
      <c r="D131" s="499" t="s">
        <v>792</v>
      </c>
      <c r="E131" s="487" t="s">
        <v>256</v>
      </c>
      <c r="F131" s="487" t="s">
        <v>244</v>
      </c>
      <c r="G131" s="487">
        <v>660</v>
      </c>
      <c r="H131" s="487"/>
      <c r="I131" s="494">
        <v>1.25</v>
      </c>
      <c r="J131" s="494"/>
      <c r="K131" s="494">
        <v>825</v>
      </c>
      <c r="L131" s="494"/>
      <c r="M131" s="494">
        <v>825</v>
      </c>
      <c r="N131" s="497">
        <v>1E-4</v>
      </c>
      <c r="O131" s="497">
        <v>0.99819999999999998</v>
      </c>
      <c r="P131" s="491" t="s">
        <v>546</v>
      </c>
    </row>
    <row r="132" spans="1:16" ht="30">
      <c r="A132" s="488">
        <v>123</v>
      </c>
      <c r="B132" s="488" t="s">
        <v>95</v>
      </c>
      <c r="C132" s="488">
        <v>39017</v>
      </c>
      <c r="D132" s="498" t="s">
        <v>793</v>
      </c>
      <c r="E132" s="488" t="s">
        <v>284</v>
      </c>
      <c r="F132" s="488" t="s">
        <v>262</v>
      </c>
      <c r="G132" s="488">
        <v>3263.509971</v>
      </c>
      <c r="H132" s="488"/>
      <c r="I132" s="493">
        <v>0.22</v>
      </c>
      <c r="J132" s="493"/>
      <c r="K132" s="493">
        <v>717.97</v>
      </c>
      <c r="L132" s="493"/>
      <c r="M132" s="493">
        <v>717.97</v>
      </c>
      <c r="N132" s="496">
        <v>1E-4</v>
      </c>
      <c r="O132" s="496">
        <v>0.99829999999999997</v>
      </c>
      <c r="P132" s="491" t="s">
        <v>546</v>
      </c>
    </row>
    <row r="133" spans="1:16" ht="45">
      <c r="A133" s="487">
        <v>124</v>
      </c>
      <c r="B133" s="487" t="s">
        <v>95</v>
      </c>
      <c r="C133" s="487">
        <v>10535</v>
      </c>
      <c r="D133" s="499" t="s">
        <v>794</v>
      </c>
      <c r="E133" s="487" t="s">
        <v>256</v>
      </c>
      <c r="F133" s="487" t="s">
        <v>262</v>
      </c>
      <c r="G133" s="487">
        <v>0.1130863</v>
      </c>
      <c r="H133" s="487"/>
      <c r="I133" s="494">
        <v>6214</v>
      </c>
      <c r="J133" s="494"/>
      <c r="K133" s="494">
        <v>702.72</v>
      </c>
      <c r="L133" s="494"/>
      <c r="M133" s="494">
        <v>702.72</v>
      </c>
      <c r="N133" s="497">
        <v>1E-4</v>
      </c>
      <c r="O133" s="497">
        <v>0.99839999999999995</v>
      </c>
      <c r="P133" s="491" t="s">
        <v>546</v>
      </c>
    </row>
    <row r="134" spans="1:16" ht="15">
      <c r="A134" s="488">
        <v>125</v>
      </c>
      <c r="B134" s="488" t="s">
        <v>95</v>
      </c>
      <c r="C134" s="488">
        <v>6114</v>
      </c>
      <c r="D134" s="498" t="s">
        <v>795</v>
      </c>
      <c r="E134" s="488" t="s">
        <v>664</v>
      </c>
      <c r="F134" s="488" t="s">
        <v>244</v>
      </c>
      <c r="G134" s="488">
        <v>56.989911999999997</v>
      </c>
      <c r="H134" s="488"/>
      <c r="I134" s="493">
        <v>12.3</v>
      </c>
      <c r="J134" s="493"/>
      <c r="K134" s="493">
        <v>700.98</v>
      </c>
      <c r="L134" s="493"/>
      <c r="M134" s="493">
        <v>700.98</v>
      </c>
      <c r="N134" s="496">
        <v>1E-4</v>
      </c>
      <c r="O134" s="496">
        <v>0.99850000000000005</v>
      </c>
      <c r="P134" s="491" t="s">
        <v>546</v>
      </c>
    </row>
    <row r="135" spans="1:16" ht="30">
      <c r="A135" s="487">
        <v>126</v>
      </c>
      <c r="B135" s="487" t="s">
        <v>95</v>
      </c>
      <c r="C135" s="487">
        <v>6212</v>
      </c>
      <c r="D135" s="499" t="s">
        <v>796</v>
      </c>
      <c r="E135" s="487" t="s">
        <v>284</v>
      </c>
      <c r="F135" s="487" t="s">
        <v>107</v>
      </c>
      <c r="G135" s="487">
        <v>39.916800000000002</v>
      </c>
      <c r="H135" s="487"/>
      <c r="I135" s="494">
        <v>16.940000000000001</v>
      </c>
      <c r="J135" s="494"/>
      <c r="K135" s="494">
        <v>676.19</v>
      </c>
      <c r="L135" s="494"/>
      <c r="M135" s="494">
        <v>676.19</v>
      </c>
      <c r="N135" s="497">
        <v>1E-4</v>
      </c>
      <c r="O135" s="497">
        <v>0.99870000000000003</v>
      </c>
      <c r="P135" s="491" t="s">
        <v>546</v>
      </c>
    </row>
    <row r="136" spans="1:16" ht="15">
      <c r="A136" s="488">
        <v>127</v>
      </c>
      <c r="B136" s="488" t="s">
        <v>263</v>
      </c>
      <c r="C136" s="488" t="s">
        <v>797</v>
      </c>
      <c r="D136" s="498" t="s">
        <v>798</v>
      </c>
      <c r="E136" s="488" t="s">
        <v>284</v>
      </c>
      <c r="F136" s="488" t="s">
        <v>727</v>
      </c>
      <c r="G136" s="488">
        <v>50.859521999999998</v>
      </c>
      <c r="H136" s="488"/>
      <c r="I136" s="493">
        <v>12.05</v>
      </c>
      <c r="J136" s="493"/>
      <c r="K136" s="493">
        <v>612.77</v>
      </c>
      <c r="L136" s="493"/>
      <c r="M136" s="493">
        <v>612.77</v>
      </c>
      <c r="N136" s="496">
        <v>1E-4</v>
      </c>
      <c r="O136" s="496">
        <v>0.99880000000000002</v>
      </c>
      <c r="P136" s="491" t="s">
        <v>546</v>
      </c>
    </row>
    <row r="137" spans="1:16" ht="15">
      <c r="A137" s="487">
        <v>128</v>
      </c>
      <c r="B137" s="487" t="s">
        <v>263</v>
      </c>
      <c r="C137" s="487" t="s">
        <v>799</v>
      </c>
      <c r="D137" s="499" t="s">
        <v>800</v>
      </c>
      <c r="E137" s="487" t="s">
        <v>256</v>
      </c>
      <c r="F137" s="487" t="s">
        <v>231</v>
      </c>
      <c r="G137" s="487">
        <v>2.0571429000000001</v>
      </c>
      <c r="H137" s="487">
        <v>4.8</v>
      </c>
      <c r="I137" s="494">
        <v>152.30000000000001</v>
      </c>
      <c r="J137" s="494">
        <v>58.54</v>
      </c>
      <c r="K137" s="494">
        <v>313.29000000000002</v>
      </c>
      <c r="L137" s="494">
        <v>280.97000000000003</v>
      </c>
      <c r="M137" s="494">
        <v>594.26</v>
      </c>
      <c r="N137" s="497">
        <v>1E-4</v>
      </c>
      <c r="O137" s="497">
        <v>0.99890000000000001</v>
      </c>
      <c r="P137" s="491" t="s">
        <v>546</v>
      </c>
    </row>
    <row r="138" spans="1:16" ht="15">
      <c r="A138" s="488">
        <v>129</v>
      </c>
      <c r="B138" s="488" t="s">
        <v>95</v>
      </c>
      <c r="C138" s="488">
        <v>1214</v>
      </c>
      <c r="D138" s="498" t="s">
        <v>801</v>
      </c>
      <c r="E138" s="488" t="s">
        <v>664</v>
      </c>
      <c r="F138" s="488" t="s">
        <v>244</v>
      </c>
      <c r="G138" s="488">
        <v>33.630796599999996</v>
      </c>
      <c r="H138" s="488"/>
      <c r="I138" s="493">
        <v>15.44</v>
      </c>
      <c r="J138" s="493"/>
      <c r="K138" s="493">
        <v>519.26</v>
      </c>
      <c r="L138" s="493"/>
      <c r="M138" s="493">
        <v>519.26</v>
      </c>
      <c r="N138" s="496">
        <v>1E-4</v>
      </c>
      <c r="O138" s="496">
        <v>0.99890000000000001</v>
      </c>
      <c r="P138" s="491" t="s">
        <v>546</v>
      </c>
    </row>
    <row r="139" spans="1:16" ht="30">
      <c r="A139" s="487">
        <v>130</v>
      </c>
      <c r="B139" s="487" t="s">
        <v>95</v>
      </c>
      <c r="C139" s="487">
        <v>43486</v>
      </c>
      <c r="D139" s="499" t="s">
        <v>802</v>
      </c>
      <c r="E139" s="487" t="s">
        <v>256</v>
      </c>
      <c r="F139" s="487" t="s">
        <v>244</v>
      </c>
      <c r="G139" s="487">
        <v>660</v>
      </c>
      <c r="H139" s="487"/>
      <c r="I139" s="494">
        <v>0.74</v>
      </c>
      <c r="J139" s="494"/>
      <c r="K139" s="494">
        <v>488.4</v>
      </c>
      <c r="L139" s="494"/>
      <c r="M139" s="494">
        <v>488.4</v>
      </c>
      <c r="N139" s="497">
        <v>1E-4</v>
      </c>
      <c r="O139" s="497">
        <v>0.999</v>
      </c>
      <c r="P139" s="491" t="s">
        <v>546</v>
      </c>
    </row>
    <row r="140" spans="1:16" ht="30">
      <c r="A140" s="488">
        <v>131</v>
      </c>
      <c r="B140" s="488" t="s">
        <v>95</v>
      </c>
      <c r="C140" s="488">
        <v>43459</v>
      </c>
      <c r="D140" s="498" t="s">
        <v>803</v>
      </c>
      <c r="E140" s="488" t="s">
        <v>256</v>
      </c>
      <c r="F140" s="488" t="s">
        <v>244</v>
      </c>
      <c r="G140" s="488">
        <v>921.87920980000001</v>
      </c>
      <c r="H140" s="488"/>
      <c r="I140" s="493">
        <v>0.49</v>
      </c>
      <c r="J140" s="493"/>
      <c r="K140" s="493">
        <v>451.72</v>
      </c>
      <c r="L140" s="493"/>
      <c r="M140" s="493">
        <v>451.72</v>
      </c>
      <c r="N140" s="496">
        <v>1E-4</v>
      </c>
      <c r="O140" s="496">
        <v>0.99909999999999999</v>
      </c>
      <c r="P140" s="491" t="s">
        <v>546</v>
      </c>
    </row>
    <row r="141" spans="1:16" ht="45">
      <c r="A141" s="487">
        <v>132</v>
      </c>
      <c r="B141" s="487" t="s">
        <v>95</v>
      </c>
      <c r="C141" s="487">
        <v>11280</v>
      </c>
      <c r="D141" s="499" t="s">
        <v>804</v>
      </c>
      <c r="E141" s="487" t="s">
        <v>256</v>
      </c>
      <c r="F141" s="487" t="s">
        <v>262</v>
      </c>
      <c r="G141" s="487">
        <v>3.1464399999999997E-2</v>
      </c>
      <c r="H141" s="487"/>
      <c r="I141" s="494">
        <v>14174.76</v>
      </c>
      <c r="J141" s="494"/>
      <c r="K141" s="494">
        <v>446</v>
      </c>
      <c r="L141" s="494"/>
      <c r="M141" s="494">
        <v>446</v>
      </c>
      <c r="N141" s="497">
        <v>1E-4</v>
      </c>
      <c r="O141" s="497">
        <v>0.99919999999999998</v>
      </c>
      <c r="P141" s="491" t="s">
        <v>546</v>
      </c>
    </row>
    <row r="142" spans="1:16" ht="15">
      <c r="A142" s="488">
        <v>133</v>
      </c>
      <c r="B142" s="488" t="s">
        <v>95</v>
      </c>
      <c r="C142" s="488">
        <v>5318</v>
      </c>
      <c r="D142" s="498" t="s">
        <v>805</v>
      </c>
      <c r="E142" s="488" t="s">
        <v>284</v>
      </c>
      <c r="F142" s="488" t="s">
        <v>13</v>
      </c>
      <c r="G142" s="488">
        <v>17.2669</v>
      </c>
      <c r="H142" s="488"/>
      <c r="I142" s="493">
        <v>23.74</v>
      </c>
      <c r="J142" s="493"/>
      <c r="K142" s="493">
        <v>409.92</v>
      </c>
      <c r="L142" s="493"/>
      <c r="M142" s="493">
        <v>409.92</v>
      </c>
      <c r="N142" s="496">
        <v>1E-4</v>
      </c>
      <c r="O142" s="496">
        <v>0.99919999999999998</v>
      </c>
      <c r="P142" s="491" t="s">
        <v>546</v>
      </c>
    </row>
    <row r="143" spans="1:16" ht="15">
      <c r="A143" s="487">
        <v>134</v>
      </c>
      <c r="B143" s="487" t="s">
        <v>95</v>
      </c>
      <c r="C143" s="487">
        <v>6117</v>
      </c>
      <c r="D143" s="499" t="s">
        <v>806</v>
      </c>
      <c r="E143" s="487" t="s">
        <v>664</v>
      </c>
      <c r="F143" s="487" t="s">
        <v>244</v>
      </c>
      <c r="G143" s="487">
        <v>27.372451099999999</v>
      </c>
      <c r="H143" s="487"/>
      <c r="I143" s="494">
        <v>12.3</v>
      </c>
      <c r="J143" s="494"/>
      <c r="K143" s="494">
        <v>336.68</v>
      </c>
      <c r="L143" s="494"/>
      <c r="M143" s="494">
        <v>336.68</v>
      </c>
      <c r="N143" s="497">
        <v>1E-4</v>
      </c>
      <c r="O143" s="497">
        <v>0.99929999999999997</v>
      </c>
      <c r="P143" s="491" t="s">
        <v>546</v>
      </c>
    </row>
    <row r="144" spans="1:16" ht="15">
      <c r="A144" s="488">
        <v>135</v>
      </c>
      <c r="B144" s="488" t="s">
        <v>263</v>
      </c>
      <c r="C144" s="488" t="s">
        <v>807</v>
      </c>
      <c r="D144" s="498" t="s">
        <v>808</v>
      </c>
      <c r="E144" s="488" t="s">
        <v>284</v>
      </c>
      <c r="F144" s="488" t="s">
        <v>24</v>
      </c>
      <c r="G144" s="488">
        <v>70.645853500000001</v>
      </c>
      <c r="H144" s="488"/>
      <c r="I144" s="493">
        <v>4.76</v>
      </c>
      <c r="J144" s="493"/>
      <c r="K144" s="493">
        <v>336.39</v>
      </c>
      <c r="L144" s="493"/>
      <c r="M144" s="493">
        <v>336.39</v>
      </c>
      <c r="N144" s="496">
        <v>1E-4</v>
      </c>
      <c r="O144" s="496">
        <v>0.99939999999999996</v>
      </c>
      <c r="P144" s="491" t="s">
        <v>546</v>
      </c>
    </row>
    <row r="145" spans="1:16" ht="15">
      <c r="A145" s="487">
        <v>136</v>
      </c>
      <c r="B145" s="487" t="s">
        <v>95</v>
      </c>
      <c r="C145" s="487">
        <v>1106</v>
      </c>
      <c r="D145" s="499" t="s">
        <v>809</v>
      </c>
      <c r="E145" s="487" t="s">
        <v>284</v>
      </c>
      <c r="F145" s="487" t="s">
        <v>285</v>
      </c>
      <c r="G145" s="487">
        <v>139.29747850000001</v>
      </c>
      <c r="H145" s="487"/>
      <c r="I145" s="494">
        <v>2</v>
      </c>
      <c r="J145" s="494"/>
      <c r="K145" s="494">
        <v>278.58999999999997</v>
      </c>
      <c r="L145" s="494"/>
      <c r="M145" s="494">
        <v>278.58999999999997</v>
      </c>
      <c r="N145" s="497">
        <v>0</v>
      </c>
      <c r="O145" s="497">
        <v>0.99939999999999996</v>
      </c>
      <c r="P145" s="491" t="s">
        <v>546</v>
      </c>
    </row>
    <row r="146" spans="1:16" ht="15">
      <c r="A146" s="488">
        <v>137</v>
      </c>
      <c r="B146" s="488" t="s">
        <v>95</v>
      </c>
      <c r="C146" s="488">
        <v>33</v>
      </c>
      <c r="D146" s="498" t="s">
        <v>810</v>
      </c>
      <c r="E146" s="488" t="s">
        <v>284</v>
      </c>
      <c r="F146" s="488" t="s">
        <v>285</v>
      </c>
      <c r="G146" s="488">
        <v>32.121180000000003</v>
      </c>
      <c r="H146" s="488"/>
      <c r="I146" s="493">
        <v>8.25</v>
      </c>
      <c r="J146" s="493"/>
      <c r="K146" s="493">
        <v>265</v>
      </c>
      <c r="L146" s="493"/>
      <c r="M146" s="493">
        <v>265</v>
      </c>
      <c r="N146" s="496">
        <v>0</v>
      </c>
      <c r="O146" s="496">
        <v>0.99939999999999996</v>
      </c>
      <c r="P146" s="491" t="s">
        <v>546</v>
      </c>
    </row>
    <row r="147" spans="1:16" ht="30">
      <c r="A147" s="487">
        <v>138</v>
      </c>
      <c r="B147" s="487" t="s">
        <v>263</v>
      </c>
      <c r="C147" s="487" t="s">
        <v>811</v>
      </c>
      <c r="D147" s="499" t="s">
        <v>812</v>
      </c>
      <c r="E147" s="487" t="s">
        <v>284</v>
      </c>
      <c r="F147" s="487" t="s">
        <v>727</v>
      </c>
      <c r="G147" s="487">
        <v>8.3640000000000008</v>
      </c>
      <c r="H147" s="487"/>
      <c r="I147" s="494">
        <v>30.04</v>
      </c>
      <c r="J147" s="494"/>
      <c r="K147" s="494">
        <v>251.28</v>
      </c>
      <c r="L147" s="494"/>
      <c r="M147" s="494">
        <v>251.28</v>
      </c>
      <c r="N147" s="497">
        <v>0</v>
      </c>
      <c r="O147" s="497">
        <v>0.99950000000000006</v>
      </c>
      <c r="P147" s="491" t="s">
        <v>546</v>
      </c>
    </row>
    <row r="148" spans="1:16" ht="30">
      <c r="A148" s="488">
        <v>139</v>
      </c>
      <c r="B148" s="488" t="s">
        <v>95</v>
      </c>
      <c r="C148" s="488">
        <v>37733</v>
      </c>
      <c r="D148" s="498" t="s">
        <v>813</v>
      </c>
      <c r="E148" s="488" t="s">
        <v>256</v>
      </c>
      <c r="F148" s="488" t="s">
        <v>262</v>
      </c>
      <c r="G148" s="488">
        <v>3.9768E-3</v>
      </c>
      <c r="H148" s="488"/>
      <c r="I148" s="493">
        <v>54958.74</v>
      </c>
      <c r="J148" s="493"/>
      <c r="K148" s="493">
        <v>218.56</v>
      </c>
      <c r="L148" s="493"/>
      <c r="M148" s="493">
        <v>218.56</v>
      </c>
      <c r="N148" s="496">
        <v>0</v>
      </c>
      <c r="O148" s="496">
        <v>0.99950000000000006</v>
      </c>
      <c r="P148" s="491" t="s">
        <v>546</v>
      </c>
    </row>
    <row r="149" spans="1:16" ht="15">
      <c r="A149" s="487">
        <v>140</v>
      </c>
      <c r="B149" s="487" t="s">
        <v>263</v>
      </c>
      <c r="C149" s="487" t="s">
        <v>814</v>
      </c>
      <c r="D149" s="499" t="s">
        <v>815</v>
      </c>
      <c r="E149" s="487" t="s">
        <v>664</v>
      </c>
      <c r="F149" s="487" t="s">
        <v>740</v>
      </c>
      <c r="G149" s="487">
        <v>7.9369629000000002</v>
      </c>
      <c r="H149" s="487"/>
      <c r="I149" s="494">
        <v>26.13</v>
      </c>
      <c r="J149" s="494"/>
      <c r="K149" s="494">
        <v>207.36</v>
      </c>
      <c r="L149" s="494"/>
      <c r="M149" s="494">
        <v>207.36</v>
      </c>
      <c r="N149" s="497">
        <v>0</v>
      </c>
      <c r="O149" s="497">
        <v>0.99960000000000004</v>
      </c>
      <c r="P149" s="491" t="s">
        <v>546</v>
      </c>
    </row>
    <row r="150" spans="1:16" ht="15">
      <c r="A150" s="488">
        <v>141</v>
      </c>
      <c r="B150" s="488" t="s">
        <v>95</v>
      </c>
      <c r="C150" s="488">
        <v>244</v>
      </c>
      <c r="D150" s="498" t="s">
        <v>816</v>
      </c>
      <c r="E150" s="488" t="s">
        <v>664</v>
      </c>
      <c r="F150" s="488" t="s">
        <v>244</v>
      </c>
      <c r="G150" s="488">
        <v>16.975008899999999</v>
      </c>
      <c r="H150" s="488"/>
      <c r="I150" s="493">
        <v>11.87</v>
      </c>
      <c r="J150" s="493"/>
      <c r="K150" s="493">
        <v>201.49</v>
      </c>
      <c r="L150" s="493"/>
      <c r="M150" s="493">
        <v>201.49</v>
      </c>
      <c r="N150" s="496">
        <v>0</v>
      </c>
      <c r="O150" s="496">
        <v>0.99960000000000004</v>
      </c>
      <c r="P150" s="491" t="s">
        <v>546</v>
      </c>
    </row>
    <row r="151" spans="1:16" ht="45">
      <c r="A151" s="487">
        <v>142</v>
      </c>
      <c r="B151" s="487" t="s">
        <v>95</v>
      </c>
      <c r="C151" s="487">
        <v>36397</v>
      </c>
      <c r="D151" s="499" t="s">
        <v>817</v>
      </c>
      <c r="E151" s="487" t="s">
        <v>256</v>
      </c>
      <c r="F151" s="487" t="s">
        <v>262</v>
      </c>
      <c r="G151" s="487">
        <v>6.8253999999999997E-3</v>
      </c>
      <c r="H151" s="487"/>
      <c r="I151" s="494">
        <v>25277.279999999999</v>
      </c>
      <c r="J151" s="494"/>
      <c r="K151" s="494">
        <v>172.53</v>
      </c>
      <c r="L151" s="494"/>
      <c r="M151" s="494">
        <v>172.53</v>
      </c>
      <c r="N151" s="497">
        <v>0</v>
      </c>
      <c r="O151" s="497">
        <v>0.99960000000000004</v>
      </c>
      <c r="P151" s="491" t="s">
        <v>546</v>
      </c>
    </row>
    <row r="152" spans="1:16" ht="15">
      <c r="A152" s="488">
        <v>143</v>
      </c>
      <c r="B152" s="488" t="s">
        <v>263</v>
      </c>
      <c r="C152" s="488" t="s">
        <v>818</v>
      </c>
      <c r="D152" s="498" t="s">
        <v>819</v>
      </c>
      <c r="E152" s="488" t="s">
        <v>256</v>
      </c>
      <c r="F152" s="488" t="s">
        <v>231</v>
      </c>
      <c r="G152" s="488">
        <v>3.4495480999999999</v>
      </c>
      <c r="H152" s="488"/>
      <c r="I152" s="493">
        <v>48.38</v>
      </c>
      <c r="J152" s="493"/>
      <c r="K152" s="493">
        <v>166.9</v>
      </c>
      <c r="L152" s="493"/>
      <c r="M152" s="493">
        <v>166.9</v>
      </c>
      <c r="N152" s="496">
        <v>0</v>
      </c>
      <c r="O152" s="496">
        <v>0.99970000000000003</v>
      </c>
      <c r="P152" s="491" t="s">
        <v>546</v>
      </c>
    </row>
    <row r="153" spans="1:16" ht="45">
      <c r="A153" s="487">
        <v>144</v>
      </c>
      <c r="B153" s="487" t="s">
        <v>95</v>
      </c>
      <c r="C153" s="487">
        <v>40275</v>
      </c>
      <c r="D153" s="499" t="s">
        <v>820</v>
      </c>
      <c r="E153" s="487" t="s">
        <v>256</v>
      </c>
      <c r="F153" s="487" t="s">
        <v>257</v>
      </c>
      <c r="G153" s="487">
        <v>10.303392199999999</v>
      </c>
      <c r="H153" s="487"/>
      <c r="I153" s="494">
        <v>16</v>
      </c>
      <c r="J153" s="494"/>
      <c r="K153" s="494">
        <v>164.85</v>
      </c>
      <c r="L153" s="494"/>
      <c r="M153" s="494">
        <v>164.85</v>
      </c>
      <c r="N153" s="497">
        <v>0</v>
      </c>
      <c r="O153" s="497">
        <v>0.99970000000000003</v>
      </c>
      <c r="P153" s="491" t="s">
        <v>546</v>
      </c>
    </row>
    <row r="154" spans="1:16" ht="30">
      <c r="A154" s="488">
        <v>145</v>
      </c>
      <c r="B154" s="488" t="s">
        <v>95</v>
      </c>
      <c r="C154" s="488">
        <v>43464</v>
      </c>
      <c r="D154" s="498" t="s">
        <v>821</v>
      </c>
      <c r="E154" s="488" t="s">
        <v>256</v>
      </c>
      <c r="F154" s="488" t="s">
        <v>244</v>
      </c>
      <c r="G154" s="488">
        <v>14019.37103</v>
      </c>
      <c r="H154" s="488"/>
      <c r="I154" s="493">
        <v>0.01</v>
      </c>
      <c r="J154" s="493"/>
      <c r="K154" s="493">
        <v>140.19</v>
      </c>
      <c r="L154" s="493"/>
      <c r="M154" s="493">
        <v>140.19</v>
      </c>
      <c r="N154" s="496">
        <v>0</v>
      </c>
      <c r="O154" s="496">
        <v>0.99970000000000003</v>
      </c>
      <c r="P154" s="491" t="s">
        <v>546</v>
      </c>
    </row>
    <row r="155" spans="1:16" ht="15">
      <c r="A155" s="487">
        <v>146</v>
      </c>
      <c r="B155" s="487" t="s">
        <v>263</v>
      </c>
      <c r="C155" s="487" t="s">
        <v>822</v>
      </c>
      <c r="D155" s="499" t="s">
        <v>823</v>
      </c>
      <c r="E155" s="487" t="s">
        <v>256</v>
      </c>
      <c r="F155" s="487" t="s">
        <v>231</v>
      </c>
      <c r="G155" s="487">
        <v>5.4498179999999996</v>
      </c>
      <c r="H155" s="487"/>
      <c r="I155" s="494">
        <v>25.26</v>
      </c>
      <c r="J155" s="494"/>
      <c r="K155" s="494">
        <v>137.63999999999999</v>
      </c>
      <c r="L155" s="494"/>
      <c r="M155" s="494">
        <v>137.63999999999999</v>
      </c>
      <c r="N155" s="497">
        <v>0</v>
      </c>
      <c r="O155" s="497">
        <v>0.99970000000000003</v>
      </c>
      <c r="P155" s="491" t="s">
        <v>546</v>
      </c>
    </row>
    <row r="156" spans="1:16" ht="30">
      <c r="A156" s="488">
        <v>147</v>
      </c>
      <c r="B156" s="488" t="s">
        <v>95</v>
      </c>
      <c r="C156" s="488">
        <v>40287</v>
      </c>
      <c r="D156" s="498" t="s">
        <v>824</v>
      </c>
      <c r="E156" s="488" t="s">
        <v>256</v>
      </c>
      <c r="F156" s="488" t="s">
        <v>257</v>
      </c>
      <c r="G156" s="488">
        <v>22.774909699999998</v>
      </c>
      <c r="H156" s="488"/>
      <c r="I156" s="493">
        <v>5.89</v>
      </c>
      <c r="J156" s="493"/>
      <c r="K156" s="493">
        <v>134.13999999999999</v>
      </c>
      <c r="L156" s="493"/>
      <c r="M156" s="493">
        <v>134.13999999999999</v>
      </c>
      <c r="N156" s="496">
        <v>0</v>
      </c>
      <c r="O156" s="496">
        <v>0.99970000000000003</v>
      </c>
      <c r="P156" s="491" t="s">
        <v>546</v>
      </c>
    </row>
    <row r="157" spans="1:16" ht="15">
      <c r="A157" s="487">
        <v>148</v>
      </c>
      <c r="B157" s="487" t="s">
        <v>263</v>
      </c>
      <c r="C157" s="487" t="s">
        <v>825</v>
      </c>
      <c r="D157" s="499" t="s">
        <v>826</v>
      </c>
      <c r="E157" s="487" t="s">
        <v>256</v>
      </c>
      <c r="F157" s="487" t="s">
        <v>231</v>
      </c>
      <c r="G157" s="487">
        <v>0.40505600000000003</v>
      </c>
      <c r="H157" s="487">
        <v>2.2380999999999998E-3</v>
      </c>
      <c r="I157" s="494">
        <v>273.89</v>
      </c>
      <c r="J157" s="494">
        <v>78.66</v>
      </c>
      <c r="K157" s="494">
        <v>110.94</v>
      </c>
      <c r="L157" s="494">
        <v>0.18</v>
      </c>
      <c r="M157" s="494">
        <v>111.12</v>
      </c>
      <c r="N157" s="497">
        <v>0</v>
      </c>
      <c r="O157" s="497">
        <v>0.99980000000000002</v>
      </c>
      <c r="P157" s="491" t="s">
        <v>546</v>
      </c>
    </row>
    <row r="158" spans="1:16" ht="15">
      <c r="A158" s="488">
        <v>149</v>
      </c>
      <c r="B158" s="488" t="s">
        <v>263</v>
      </c>
      <c r="C158" s="488" t="s">
        <v>827</v>
      </c>
      <c r="D158" s="498" t="s">
        <v>828</v>
      </c>
      <c r="E158" s="488" t="s">
        <v>284</v>
      </c>
      <c r="F158" s="488" t="s">
        <v>727</v>
      </c>
      <c r="G158" s="488">
        <v>11.4722755</v>
      </c>
      <c r="H158" s="488"/>
      <c r="I158" s="493">
        <v>9.5</v>
      </c>
      <c r="J158" s="493"/>
      <c r="K158" s="493">
        <v>108.99</v>
      </c>
      <c r="L158" s="493"/>
      <c r="M158" s="493">
        <v>108.99</v>
      </c>
      <c r="N158" s="496">
        <v>0</v>
      </c>
      <c r="O158" s="496">
        <v>0.99980000000000002</v>
      </c>
      <c r="P158" s="491" t="s">
        <v>546</v>
      </c>
    </row>
    <row r="159" spans="1:16" ht="15">
      <c r="A159" s="487">
        <v>150</v>
      </c>
      <c r="B159" s="487" t="s">
        <v>263</v>
      </c>
      <c r="C159" s="487" t="s">
        <v>829</v>
      </c>
      <c r="D159" s="499" t="s">
        <v>830</v>
      </c>
      <c r="E159" s="487" t="s">
        <v>256</v>
      </c>
      <c r="F159" s="487" t="s">
        <v>231</v>
      </c>
      <c r="G159" s="487">
        <v>5.4498179999999996</v>
      </c>
      <c r="H159" s="487"/>
      <c r="I159" s="494">
        <v>19.23</v>
      </c>
      <c r="J159" s="494"/>
      <c r="K159" s="494">
        <v>104.79</v>
      </c>
      <c r="L159" s="494"/>
      <c r="M159" s="494">
        <v>104.79</v>
      </c>
      <c r="N159" s="497">
        <v>0</v>
      </c>
      <c r="O159" s="497">
        <v>0.99980000000000002</v>
      </c>
      <c r="P159" s="491" t="s">
        <v>546</v>
      </c>
    </row>
    <row r="160" spans="1:16" ht="30">
      <c r="A160" s="488">
        <v>151</v>
      </c>
      <c r="B160" s="488" t="s">
        <v>95</v>
      </c>
      <c r="C160" s="488">
        <v>2692</v>
      </c>
      <c r="D160" s="498" t="s">
        <v>831</v>
      </c>
      <c r="E160" s="488" t="s">
        <v>284</v>
      </c>
      <c r="F160" s="488" t="s">
        <v>13</v>
      </c>
      <c r="G160" s="488">
        <v>11.7289332</v>
      </c>
      <c r="H160" s="488"/>
      <c r="I160" s="493">
        <v>8.15</v>
      </c>
      <c r="J160" s="493"/>
      <c r="K160" s="493">
        <v>95.59</v>
      </c>
      <c r="L160" s="493"/>
      <c r="M160" s="493">
        <v>95.59</v>
      </c>
      <c r="N160" s="496">
        <v>0</v>
      </c>
      <c r="O160" s="496">
        <v>0.99980000000000002</v>
      </c>
      <c r="P160" s="491" t="s">
        <v>546</v>
      </c>
    </row>
    <row r="161" spans="1:16" ht="30">
      <c r="A161" s="487">
        <v>152</v>
      </c>
      <c r="B161" s="487" t="s">
        <v>95</v>
      </c>
      <c r="C161" s="487">
        <v>40271</v>
      </c>
      <c r="D161" s="499" t="s">
        <v>832</v>
      </c>
      <c r="E161" s="487" t="s">
        <v>256</v>
      </c>
      <c r="F161" s="487" t="s">
        <v>257</v>
      </c>
      <c r="G161" s="487">
        <v>6.0758675000000002</v>
      </c>
      <c r="H161" s="487"/>
      <c r="I161" s="494">
        <v>15.31</v>
      </c>
      <c r="J161" s="494"/>
      <c r="K161" s="494">
        <v>93.02</v>
      </c>
      <c r="L161" s="494"/>
      <c r="M161" s="494">
        <v>93.02</v>
      </c>
      <c r="N161" s="497">
        <v>0</v>
      </c>
      <c r="O161" s="497">
        <v>0.99980000000000002</v>
      </c>
      <c r="P161" s="491" t="s">
        <v>546</v>
      </c>
    </row>
    <row r="162" spans="1:16" ht="15">
      <c r="A162" s="488">
        <v>153</v>
      </c>
      <c r="B162" s="488" t="s">
        <v>95</v>
      </c>
      <c r="C162" s="488">
        <v>40304</v>
      </c>
      <c r="D162" s="498" t="s">
        <v>833</v>
      </c>
      <c r="E162" s="488" t="s">
        <v>284</v>
      </c>
      <c r="F162" s="488" t="s">
        <v>285</v>
      </c>
      <c r="G162" s="488">
        <v>3.8610427999999999</v>
      </c>
      <c r="H162" s="488"/>
      <c r="I162" s="493">
        <v>23.5</v>
      </c>
      <c r="J162" s="493"/>
      <c r="K162" s="493">
        <v>90.73</v>
      </c>
      <c r="L162" s="493"/>
      <c r="M162" s="493">
        <v>90.73</v>
      </c>
      <c r="N162" s="496">
        <v>0</v>
      </c>
      <c r="O162" s="496">
        <v>0.99990000000000001</v>
      </c>
      <c r="P162" s="491" t="s">
        <v>546</v>
      </c>
    </row>
    <row r="163" spans="1:16" ht="15">
      <c r="A163" s="487">
        <v>154</v>
      </c>
      <c r="B163" s="487" t="s">
        <v>263</v>
      </c>
      <c r="C163" s="487" t="s">
        <v>834</v>
      </c>
      <c r="D163" s="499" t="s">
        <v>835</v>
      </c>
      <c r="E163" s="487" t="s">
        <v>664</v>
      </c>
      <c r="F163" s="487" t="s">
        <v>740</v>
      </c>
      <c r="G163" s="487">
        <v>3.4495480999999999</v>
      </c>
      <c r="H163" s="487"/>
      <c r="I163" s="494">
        <v>24.23</v>
      </c>
      <c r="J163" s="494"/>
      <c r="K163" s="494">
        <v>83.57</v>
      </c>
      <c r="L163" s="494"/>
      <c r="M163" s="494">
        <v>83.57</v>
      </c>
      <c r="N163" s="497">
        <v>0</v>
      </c>
      <c r="O163" s="497">
        <v>0.99990000000000001</v>
      </c>
      <c r="P163" s="491" t="s">
        <v>546</v>
      </c>
    </row>
    <row r="164" spans="1:16" ht="15">
      <c r="A164" s="488">
        <v>155</v>
      </c>
      <c r="B164" s="488" t="s">
        <v>263</v>
      </c>
      <c r="C164" s="488" t="s">
        <v>836</v>
      </c>
      <c r="D164" s="498" t="s">
        <v>837</v>
      </c>
      <c r="E164" s="488" t="s">
        <v>256</v>
      </c>
      <c r="F164" s="488" t="s">
        <v>231</v>
      </c>
      <c r="G164" s="488">
        <v>0.244618</v>
      </c>
      <c r="H164" s="488">
        <v>3.9821500000000003E-2</v>
      </c>
      <c r="I164" s="493">
        <v>294.92</v>
      </c>
      <c r="J164" s="493">
        <v>89.31</v>
      </c>
      <c r="K164" s="493">
        <v>72.14</v>
      </c>
      <c r="L164" s="493">
        <v>3.56</v>
      </c>
      <c r="M164" s="493">
        <v>75.7</v>
      </c>
      <c r="N164" s="496">
        <v>0</v>
      </c>
      <c r="O164" s="496">
        <v>0.99990000000000001</v>
      </c>
      <c r="P164" s="491" t="s">
        <v>546</v>
      </c>
    </row>
    <row r="165" spans="1:16" ht="30">
      <c r="A165" s="487">
        <v>156</v>
      </c>
      <c r="B165" s="487" t="s">
        <v>95</v>
      </c>
      <c r="C165" s="487">
        <v>43463</v>
      </c>
      <c r="D165" s="499" t="s">
        <v>838</v>
      </c>
      <c r="E165" s="487" t="s">
        <v>256</v>
      </c>
      <c r="F165" s="487" t="s">
        <v>244</v>
      </c>
      <c r="G165" s="487">
        <v>660</v>
      </c>
      <c r="H165" s="487"/>
      <c r="I165" s="494">
        <v>0.1</v>
      </c>
      <c r="J165" s="494"/>
      <c r="K165" s="494">
        <v>66</v>
      </c>
      <c r="L165" s="494"/>
      <c r="M165" s="494">
        <v>66</v>
      </c>
      <c r="N165" s="497">
        <v>0</v>
      </c>
      <c r="O165" s="497">
        <v>0.99990000000000001</v>
      </c>
      <c r="P165" s="491" t="s">
        <v>546</v>
      </c>
    </row>
    <row r="166" spans="1:16" ht="30">
      <c r="A166" s="488">
        <v>157</v>
      </c>
      <c r="B166" s="488" t="s">
        <v>95</v>
      </c>
      <c r="C166" s="488">
        <v>13896</v>
      </c>
      <c r="D166" s="498" t="s">
        <v>839</v>
      </c>
      <c r="E166" s="488" t="s">
        <v>256</v>
      </c>
      <c r="F166" s="488" t="s">
        <v>262</v>
      </c>
      <c r="G166" s="488">
        <v>1.94906E-2</v>
      </c>
      <c r="H166" s="488"/>
      <c r="I166" s="493">
        <v>3202.6</v>
      </c>
      <c r="J166" s="493"/>
      <c r="K166" s="493">
        <v>62.42</v>
      </c>
      <c r="L166" s="493"/>
      <c r="M166" s="493">
        <v>62.42</v>
      </c>
      <c r="N166" s="496">
        <v>0</v>
      </c>
      <c r="O166" s="496">
        <v>0.99990000000000001</v>
      </c>
      <c r="P166" s="491" t="s">
        <v>546</v>
      </c>
    </row>
    <row r="167" spans="1:16" ht="30">
      <c r="A167" s="487">
        <v>158</v>
      </c>
      <c r="B167" s="487" t="s">
        <v>95</v>
      </c>
      <c r="C167" s="487">
        <v>7247</v>
      </c>
      <c r="D167" s="499" t="s">
        <v>840</v>
      </c>
      <c r="E167" s="487" t="s">
        <v>256</v>
      </c>
      <c r="F167" s="487" t="s">
        <v>244</v>
      </c>
      <c r="G167" s="487">
        <v>25.2354935</v>
      </c>
      <c r="H167" s="487"/>
      <c r="I167" s="494">
        <v>2.34</v>
      </c>
      <c r="J167" s="494"/>
      <c r="K167" s="494">
        <v>59.05</v>
      </c>
      <c r="L167" s="494"/>
      <c r="M167" s="494">
        <v>59.05</v>
      </c>
      <c r="N167" s="497">
        <v>0</v>
      </c>
      <c r="O167" s="497">
        <v>0.99990000000000001</v>
      </c>
      <c r="P167" s="491" t="s">
        <v>546</v>
      </c>
    </row>
    <row r="168" spans="1:16" ht="15">
      <c r="A168" s="488">
        <v>159</v>
      </c>
      <c r="B168" s="488" t="s">
        <v>95</v>
      </c>
      <c r="C168" s="488">
        <v>20247</v>
      </c>
      <c r="D168" s="498" t="s">
        <v>841</v>
      </c>
      <c r="E168" s="488" t="s">
        <v>284</v>
      </c>
      <c r="F168" s="488" t="s">
        <v>285</v>
      </c>
      <c r="G168" s="488">
        <v>2.5745241000000001</v>
      </c>
      <c r="H168" s="488"/>
      <c r="I168" s="493">
        <v>21.08</v>
      </c>
      <c r="J168" s="493"/>
      <c r="K168" s="493">
        <v>54.27</v>
      </c>
      <c r="L168" s="493"/>
      <c r="M168" s="493">
        <v>54.27</v>
      </c>
      <c r="N168" s="496">
        <v>0</v>
      </c>
      <c r="O168" s="496">
        <v>0.99990000000000001</v>
      </c>
      <c r="P168" s="491" t="s">
        <v>546</v>
      </c>
    </row>
    <row r="169" spans="1:16" ht="30">
      <c r="A169" s="487">
        <v>160</v>
      </c>
      <c r="B169" s="487" t="s">
        <v>95</v>
      </c>
      <c r="C169" s="487">
        <v>39016</v>
      </c>
      <c r="D169" s="499" t="s">
        <v>842</v>
      </c>
      <c r="E169" s="487" t="s">
        <v>284</v>
      </c>
      <c r="F169" s="487" t="s">
        <v>262</v>
      </c>
      <c r="G169" s="487">
        <v>119.1841965</v>
      </c>
      <c r="H169" s="487"/>
      <c r="I169" s="494">
        <v>0.36</v>
      </c>
      <c r="J169" s="494"/>
      <c r="K169" s="494">
        <v>42.91</v>
      </c>
      <c r="L169" s="494"/>
      <c r="M169" s="494">
        <v>42.91</v>
      </c>
      <c r="N169" s="497">
        <v>0</v>
      </c>
      <c r="O169" s="497">
        <v>0.99990000000000001</v>
      </c>
      <c r="P169" s="491" t="s">
        <v>546</v>
      </c>
    </row>
    <row r="170" spans="1:16" ht="15">
      <c r="A170" s="488">
        <v>161</v>
      </c>
      <c r="B170" s="488" t="s">
        <v>95</v>
      </c>
      <c r="C170" s="488">
        <v>5069</v>
      </c>
      <c r="D170" s="498" t="s">
        <v>843</v>
      </c>
      <c r="E170" s="488" t="s">
        <v>284</v>
      </c>
      <c r="F170" s="488" t="s">
        <v>285</v>
      </c>
      <c r="G170" s="488">
        <v>2.0589</v>
      </c>
      <c r="H170" s="488"/>
      <c r="I170" s="493">
        <v>19.41</v>
      </c>
      <c r="J170" s="493"/>
      <c r="K170" s="493">
        <v>39.96</v>
      </c>
      <c r="L170" s="493"/>
      <c r="M170" s="493">
        <v>39.96</v>
      </c>
      <c r="N170" s="496">
        <v>0</v>
      </c>
      <c r="O170" s="496">
        <v>0.99990000000000001</v>
      </c>
      <c r="P170" s="491" t="s">
        <v>546</v>
      </c>
    </row>
    <row r="171" spans="1:16" ht="45">
      <c r="A171" s="487">
        <v>162</v>
      </c>
      <c r="B171" s="487" t="s">
        <v>95</v>
      </c>
      <c r="C171" s="487">
        <v>39014</v>
      </c>
      <c r="D171" s="499" t="s">
        <v>844</v>
      </c>
      <c r="E171" s="487" t="s">
        <v>284</v>
      </c>
      <c r="F171" s="487" t="s">
        <v>285</v>
      </c>
      <c r="G171" s="487">
        <v>3.0497999999999998</v>
      </c>
      <c r="H171" s="487"/>
      <c r="I171" s="494">
        <v>13.05</v>
      </c>
      <c r="J171" s="494"/>
      <c r="K171" s="494">
        <v>39.799999999999997</v>
      </c>
      <c r="L171" s="494"/>
      <c r="M171" s="494">
        <v>39.799999999999997</v>
      </c>
      <c r="N171" s="497">
        <v>0</v>
      </c>
      <c r="O171" s="497">
        <v>0.99990000000000001</v>
      </c>
      <c r="P171" s="491" t="s">
        <v>546</v>
      </c>
    </row>
    <row r="172" spans="1:16" ht="15">
      <c r="A172" s="488">
        <v>163</v>
      </c>
      <c r="B172" s="488" t="s">
        <v>263</v>
      </c>
      <c r="C172" s="488" t="s">
        <v>845</v>
      </c>
      <c r="D172" s="498" t="s">
        <v>846</v>
      </c>
      <c r="E172" s="488" t="s">
        <v>284</v>
      </c>
      <c r="F172" s="488" t="s">
        <v>727</v>
      </c>
      <c r="G172" s="488">
        <v>0.48375940000000001</v>
      </c>
      <c r="H172" s="488"/>
      <c r="I172" s="493">
        <v>81.760000000000005</v>
      </c>
      <c r="J172" s="493"/>
      <c r="K172" s="493">
        <v>39.549999999999997</v>
      </c>
      <c r="L172" s="493"/>
      <c r="M172" s="493">
        <v>39.549999999999997</v>
      </c>
      <c r="N172" s="496">
        <v>0</v>
      </c>
      <c r="O172" s="496">
        <v>0.99990000000000001</v>
      </c>
      <c r="P172" s="491" t="s">
        <v>546</v>
      </c>
    </row>
    <row r="173" spans="1:16" ht="30">
      <c r="A173" s="487">
        <v>164</v>
      </c>
      <c r="B173" s="487" t="s">
        <v>95</v>
      </c>
      <c r="C173" s="487">
        <v>43493</v>
      </c>
      <c r="D173" s="499" t="s">
        <v>847</v>
      </c>
      <c r="E173" s="487" t="s">
        <v>256</v>
      </c>
      <c r="F173" s="487" t="s">
        <v>244</v>
      </c>
      <c r="G173" s="487">
        <v>50.456640499999999</v>
      </c>
      <c r="H173" s="487"/>
      <c r="I173" s="494">
        <v>0.71</v>
      </c>
      <c r="J173" s="494"/>
      <c r="K173" s="494">
        <v>35.82</v>
      </c>
      <c r="L173" s="494"/>
      <c r="M173" s="494">
        <v>35.82</v>
      </c>
      <c r="N173" s="497">
        <v>0</v>
      </c>
      <c r="O173" s="497">
        <v>1</v>
      </c>
      <c r="P173" s="491" t="s">
        <v>546</v>
      </c>
    </row>
    <row r="174" spans="1:16" ht="45">
      <c r="A174" s="488">
        <v>165</v>
      </c>
      <c r="B174" s="488" t="s">
        <v>95</v>
      </c>
      <c r="C174" s="488">
        <v>37731</v>
      </c>
      <c r="D174" s="498" t="s">
        <v>848</v>
      </c>
      <c r="E174" s="488" t="s">
        <v>256</v>
      </c>
      <c r="F174" s="488" t="s">
        <v>262</v>
      </c>
      <c r="G174" s="488">
        <v>1.1544000000000001E-3</v>
      </c>
      <c r="H174" s="488"/>
      <c r="I174" s="493">
        <v>28913.07</v>
      </c>
      <c r="J174" s="493"/>
      <c r="K174" s="493">
        <v>33.380000000000003</v>
      </c>
      <c r="L174" s="493"/>
      <c r="M174" s="493">
        <v>33.380000000000003</v>
      </c>
      <c r="N174" s="496">
        <v>0</v>
      </c>
      <c r="O174" s="496">
        <v>1</v>
      </c>
      <c r="P174" s="491" t="s">
        <v>546</v>
      </c>
    </row>
    <row r="175" spans="1:16" ht="15">
      <c r="A175" s="487">
        <v>166</v>
      </c>
      <c r="B175" s="487" t="s">
        <v>95</v>
      </c>
      <c r="C175" s="487">
        <v>7340</v>
      </c>
      <c r="D175" s="499" t="s">
        <v>849</v>
      </c>
      <c r="E175" s="487" t="s">
        <v>284</v>
      </c>
      <c r="F175" s="487" t="s">
        <v>13</v>
      </c>
      <c r="G175" s="487">
        <v>0.97709999999999997</v>
      </c>
      <c r="H175" s="487"/>
      <c r="I175" s="494">
        <v>30.24</v>
      </c>
      <c r="J175" s="494"/>
      <c r="K175" s="494">
        <v>29.55</v>
      </c>
      <c r="L175" s="494"/>
      <c r="M175" s="494">
        <v>29.55</v>
      </c>
      <c r="N175" s="497">
        <v>0</v>
      </c>
      <c r="O175" s="497">
        <v>1</v>
      </c>
      <c r="P175" s="491" t="s">
        <v>546</v>
      </c>
    </row>
    <row r="176" spans="1:16" ht="15">
      <c r="A176" s="488">
        <v>167</v>
      </c>
      <c r="B176" s="488" t="s">
        <v>263</v>
      </c>
      <c r="C176" s="488" t="s">
        <v>850</v>
      </c>
      <c r="D176" s="498" t="s">
        <v>851</v>
      </c>
      <c r="E176" s="488" t="s">
        <v>664</v>
      </c>
      <c r="F176" s="488" t="s">
        <v>740</v>
      </c>
      <c r="G176" s="488">
        <v>1.07982</v>
      </c>
      <c r="H176" s="488"/>
      <c r="I176" s="493">
        <v>25.78</v>
      </c>
      <c r="J176" s="493"/>
      <c r="K176" s="493">
        <v>27.84</v>
      </c>
      <c r="L176" s="493"/>
      <c r="M176" s="493">
        <v>27.84</v>
      </c>
      <c r="N176" s="496">
        <v>0</v>
      </c>
      <c r="O176" s="496">
        <v>1</v>
      </c>
      <c r="P176" s="491" t="s">
        <v>546</v>
      </c>
    </row>
    <row r="177" spans="1:16" ht="15">
      <c r="A177" s="487">
        <v>168</v>
      </c>
      <c r="B177" s="487" t="s">
        <v>263</v>
      </c>
      <c r="C177" s="487" t="s">
        <v>852</v>
      </c>
      <c r="D177" s="499" t="s">
        <v>853</v>
      </c>
      <c r="E177" s="487" t="s">
        <v>284</v>
      </c>
      <c r="F177" s="487" t="s">
        <v>727</v>
      </c>
      <c r="G177" s="487">
        <v>1.3752475</v>
      </c>
      <c r="H177" s="487"/>
      <c r="I177" s="494">
        <v>18.91</v>
      </c>
      <c r="J177" s="494"/>
      <c r="K177" s="494">
        <v>26.01</v>
      </c>
      <c r="L177" s="494"/>
      <c r="M177" s="494">
        <v>26.01</v>
      </c>
      <c r="N177" s="497">
        <v>0</v>
      </c>
      <c r="O177" s="497">
        <v>1</v>
      </c>
      <c r="P177" s="491" t="s">
        <v>546</v>
      </c>
    </row>
    <row r="178" spans="1:16" ht="15">
      <c r="A178" s="488">
        <v>169</v>
      </c>
      <c r="B178" s="488" t="s">
        <v>263</v>
      </c>
      <c r="C178" s="488" t="s">
        <v>854</v>
      </c>
      <c r="D178" s="498" t="s">
        <v>855</v>
      </c>
      <c r="E178" s="488" t="s">
        <v>256</v>
      </c>
      <c r="F178" s="488" t="s">
        <v>262</v>
      </c>
      <c r="G178" s="488">
        <v>0.74594749999999999</v>
      </c>
      <c r="H178" s="488"/>
      <c r="I178" s="493">
        <v>27.37</v>
      </c>
      <c r="J178" s="493"/>
      <c r="K178" s="493">
        <v>20.41</v>
      </c>
      <c r="L178" s="493"/>
      <c r="M178" s="493">
        <v>20.41</v>
      </c>
      <c r="N178" s="496">
        <v>0</v>
      </c>
      <c r="O178" s="496">
        <v>1</v>
      </c>
      <c r="P178" s="491" t="s">
        <v>546</v>
      </c>
    </row>
    <row r="179" spans="1:16" ht="15">
      <c r="A179" s="487">
        <v>170</v>
      </c>
      <c r="B179" s="487" t="s">
        <v>95</v>
      </c>
      <c r="C179" s="487">
        <v>5073</v>
      </c>
      <c r="D179" s="499" t="s">
        <v>856</v>
      </c>
      <c r="E179" s="487" t="s">
        <v>284</v>
      </c>
      <c r="F179" s="487" t="s">
        <v>285</v>
      </c>
      <c r="G179" s="487">
        <v>0.91520000000000001</v>
      </c>
      <c r="H179" s="487"/>
      <c r="I179" s="494">
        <v>19.41</v>
      </c>
      <c r="J179" s="494"/>
      <c r="K179" s="494">
        <v>17.760000000000002</v>
      </c>
      <c r="L179" s="494"/>
      <c r="M179" s="494">
        <v>17.760000000000002</v>
      </c>
      <c r="N179" s="497">
        <v>0</v>
      </c>
      <c r="O179" s="497">
        <v>1</v>
      </c>
      <c r="P179" s="491" t="s">
        <v>546</v>
      </c>
    </row>
    <row r="180" spans="1:16" ht="15">
      <c r="A180" s="488">
        <v>171</v>
      </c>
      <c r="B180" s="488" t="s">
        <v>263</v>
      </c>
      <c r="C180" s="488" t="s">
        <v>857</v>
      </c>
      <c r="D180" s="498" t="s">
        <v>858</v>
      </c>
      <c r="E180" s="488" t="s">
        <v>284</v>
      </c>
      <c r="F180" s="488" t="s">
        <v>859</v>
      </c>
      <c r="G180" s="488">
        <v>1.076938</v>
      </c>
      <c r="H180" s="488"/>
      <c r="I180" s="493">
        <v>15.28</v>
      </c>
      <c r="J180" s="493"/>
      <c r="K180" s="493">
        <v>16.46</v>
      </c>
      <c r="L180" s="493"/>
      <c r="M180" s="493">
        <v>16.46</v>
      </c>
      <c r="N180" s="496">
        <v>0</v>
      </c>
      <c r="O180" s="496">
        <v>1</v>
      </c>
      <c r="P180" s="491" t="s">
        <v>546</v>
      </c>
    </row>
    <row r="181" spans="1:16" ht="45">
      <c r="A181" s="487">
        <v>172</v>
      </c>
      <c r="B181" s="487" t="s">
        <v>95</v>
      </c>
      <c r="C181" s="487">
        <v>43682</v>
      </c>
      <c r="D181" s="499" t="s">
        <v>860</v>
      </c>
      <c r="E181" s="487" t="s">
        <v>284</v>
      </c>
      <c r="F181" s="487" t="s">
        <v>780</v>
      </c>
      <c r="G181" s="487">
        <v>0.74715419999999999</v>
      </c>
      <c r="H181" s="487"/>
      <c r="I181" s="494">
        <v>20.58</v>
      </c>
      <c r="J181" s="494"/>
      <c r="K181" s="494">
        <v>15.38</v>
      </c>
      <c r="L181" s="494"/>
      <c r="M181" s="494">
        <v>15.38</v>
      </c>
      <c r="N181" s="497">
        <v>0</v>
      </c>
      <c r="O181" s="497">
        <v>1</v>
      </c>
      <c r="P181" s="491" t="s">
        <v>546</v>
      </c>
    </row>
    <row r="182" spans="1:16" ht="75">
      <c r="A182" s="488">
        <v>173</v>
      </c>
      <c r="B182" s="488" t="s">
        <v>95</v>
      </c>
      <c r="C182" s="488">
        <v>1442</v>
      </c>
      <c r="D182" s="498" t="s">
        <v>861</v>
      </c>
      <c r="E182" s="488" t="s">
        <v>256</v>
      </c>
      <c r="F182" s="488" t="s">
        <v>262</v>
      </c>
      <c r="G182" s="488">
        <v>1.4812E-3</v>
      </c>
      <c r="H182" s="488"/>
      <c r="I182" s="493">
        <v>9620.16</v>
      </c>
      <c r="J182" s="493"/>
      <c r="K182" s="493">
        <v>14.25</v>
      </c>
      <c r="L182" s="493"/>
      <c r="M182" s="493">
        <v>14.25</v>
      </c>
      <c r="N182" s="496">
        <v>0</v>
      </c>
      <c r="O182" s="496">
        <v>1</v>
      </c>
      <c r="P182" s="491" t="s">
        <v>546</v>
      </c>
    </row>
    <row r="183" spans="1:16" ht="15">
      <c r="A183" s="487">
        <v>174</v>
      </c>
      <c r="B183" s="487" t="s">
        <v>263</v>
      </c>
      <c r="C183" s="487" t="s">
        <v>862</v>
      </c>
      <c r="D183" s="499" t="s">
        <v>863</v>
      </c>
      <c r="E183" s="487" t="s">
        <v>256</v>
      </c>
      <c r="F183" s="487" t="s">
        <v>231</v>
      </c>
      <c r="G183" s="487">
        <v>4.2429440999999999</v>
      </c>
      <c r="H183" s="487">
        <v>6.1057002000000002</v>
      </c>
      <c r="I183" s="494">
        <v>1.62</v>
      </c>
      <c r="J183" s="494">
        <v>1.1000000000000001</v>
      </c>
      <c r="K183" s="494">
        <v>6.85</v>
      </c>
      <c r="L183" s="494">
        <v>6.7</v>
      </c>
      <c r="M183" s="494">
        <v>13.56</v>
      </c>
      <c r="N183" s="497">
        <v>0</v>
      </c>
      <c r="O183" s="497">
        <v>1</v>
      </c>
      <c r="P183" s="491" t="s">
        <v>546</v>
      </c>
    </row>
    <row r="184" spans="1:16" ht="30">
      <c r="A184" s="488">
        <v>175</v>
      </c>
      <c r="B184" s="488" t="s">
        <v>95</v>
      </c>
      <c r="C184" s="488">
        <v>13887</v>
      </c>
      <c r="D184" s="498" t="s">
        <v>864</v>
      </c>
      <c r="E184" s="488" t="s">
        <v>284</v>
      </c>
      <c r="F184" s="488" t="s">
        <v>262</v>
      </c>
      <c r="G184" s="488">
        <v>2.7216500000000001E-2</v>
      </c>
      <c r="H184" s="488"/>
      <c r="I184" s="493">
        <v>473.27</v>
      </c>
      <c r="J184" s="493"/>
      <c r="K184" s="493">
        <v>12.88</v>
      </c>
      <c r="L184" s="493"/>
      <c r="M184" s="493">
        <v>12.88</v>
      </c>
      <c r="N184" s="496">
        <v>0</v>
      </c>
      <c r="O184" s="496">
        <v>1</v>
      </c>
      <c r="P184" s="491" t="s">
        <v>546</v>
      </c>
    </row>
    <row r="185" spans="1:16" ht="15">
      <c r="A185" s="487">
        <v>176</v>
      </c>
      <c r="B185" s="487" t="s">
        <v>263</v>
      </c>
      <c r="C185" s="487" t="s">
        <v>865</v>
      </c>
      <c r="D185" s="499" t="s">
        <v>866</v>
      </c>
      <c r="E185" s="487" t="s">
        <v>664</v>
      </c>
      <c r="F185" s="487" t="s">
        <v>740</v>
      </c>
      <c r="G185" s="487">
        <v>0.45109969999999999</v>
      </c>
      <c r="H185" s="487"/>
      <c r="I185" s="494">
        <v>24.53</v>
      </c>
      <c r="J185" s="494"/>
      <c r="K185" s="494">
        <v>11.06</v>
      </c>
      <c r="L185" s="494"/>
      <c r="M185" s="494">
        <v>11.06</v>
      </c>
      <c r="N185" s="497">
        <v>0</v>
      </c>
      <c r="O185" s="497">
        <v>1</v>
      </c>
      <c r="P185" s="491" t="s">
        <v>546</v>
      </c>
    </row>
    <row r="186" spans="1:16" ht="15">
      <c r="A186" s="488">
        <v>177</v>
      </c>
      <c r="B186" s="488" t="s">
        <v>263</v>
      </c>
      <c r="C186" s="488" t="s">
        <v>867</v>
      </c>
      <c r="D186" s="498" t="s">
        <v>868</v>
      </c>
      <c r="E186" s="488" t="s">
        <v>256</v>
      </c>
      <c r="F186" s="488" t="s">
        <v>231</v>
      </c>
      <c r="G186" s="488">
        <v>12.4183732</v>
      </c>
      <c r="H186" s="488">
        <v>1.3798193000000001</v>
      </c>
      <c r="I186" s="493">
        <v>0.77</v>
      </c>
      <c r="J186" s="493">
        <v>0.52</v>
      </c>
      <c r="K186" s="493">
        <v>9.52</v>
      </c>
      <c r="L186" s="493">
        <v>0.72</v>
      </c>
      <c r="M186" s="493">
        <v>10.24</v>
      </c>
      <c r="N186" s="496">
        <v>0</v>
      </c>
      <c r="O186" s="496">
        <v>1</v>
      </c>
      <c r="P186" s="491" t="s">
        <v>546</v>
      </c>
    </row>
    <row r="187" spans="1:16" ht="30">
      <c r="A187" s="487">
        <v>178</v>
      </c>
      <c r="B187" s="487" t="s">
        <v>263</v>
      </c>
      <c r="C187" s="487" t="s">
        <v>869</v>
      </c>
      <c r="D187" s="499" t="s">
        <v>870</v>
      </c>
      <c r="E187" s="487" t="s">
        <v>256</v>
      </c>
      <c r="F187" s="487" t="s">
        <v>231</v>
      </c>
      <c r="G187" s="487">
        <v>0.2255499</v>
      </c>
      <c r="H187" s="487"/>
      <c r="I187" s="494">
        <v>43.4</v>
      </c>
      <c r="J187" s="494"/>
      <c r="K187" s="494">
        <v>9.7899999999999991</v>
      </c>
      <c r="L187" s="494"/>
      <c r="M187" s="494">
        <v>9.7899999999999991</v>
      </c>
      <c r="N187" s="497">
        <v>0</v>
      </c>
      <c r="O187" s="497">
        <v>1</v>
      </c>
      <c r="P187" s="491" t="s">
        <v>546</v>
      </c>
    </row>
    <row r="188" spans="1:16" ht="15">
      <c r="A188" s="488">
        <v>179</v>
      </c>
      <c r="B188" s="488" t="s">
        <v>263</v>
      </c>
      <c r="C188" s="488" t="s">
        <v>871</v>
      </c>
      <c r="D188" s="498" t="s">
        <v>872</v>
      </c>
      <c r="E188" s="488" t="s">
        <v>256</v>
      </c>
      <c r="F188" s="488" t="s">
        <v>231</v>
      </c>
      <c r="G188" s="488">
        <v>0.52039769999999996</v>
      </c>
      <c r="H188" s="488"/>
      <c r="I188" s="493">
        <v>13.85</v>
      </c>
      <c r="J188" s="493"/>
      <c r="K188" s="493">
        <v>7.21</v>
      </c>
      <c r="L188" s="493"/>
      <c r="M188" s="493">
        <v>7.21</v>
      </c>
      <c r="N188" s="496">
        <v>0</v>
      </c>
      <c r="O188" s="496">
        <v>1</v>
      </c>
      <c r="P188" s="491" t="s">
        <v>546</v>
      </c>
    </row>
    <row r="189" spans="1:16" ht="30">
      <c r="A189" s="487">
        <v>180</v>
      </c>
      <c r="B189" s="487" t="s">
        <v>95</v>
      </c>
      <c r="C189" s="487">
        <v>43462</v>
      </c>
      <c r="D189" s="499" t="s">
        <v>873</v>
      </c>
      <c r="E189" s="487" t="s">
        <v>256</v>
      </c>
      <c r="F189" s="487" t="s">
        <v>244</v>
      </c>
      <c r="G189" s="487">
        <v>660</v>
      </c>
      <c r="H189" s="487"/>
      <c r="I189" s="494">
        <v>0.01</v>
      </c>
      <c r="J189" s="494"/>
      <c r="K189" s="494">
        <v>6.6</v>
      </c>
      <c r="L189" s="494"/>
      <c r="M189" s="494">
        <v>6.6</v>
      </c>
      <c r="N189" s="497">
        <v>0</v>
      </c>
      <c r="O189" s="497">
        <v>1</v>
      </c>
      <c r="P189" s="491" t="s">
        <v>546</v>
      </c>
    </row>
    <row r="190" spans="1:16" ht="30">
      <c r="A190" s="488">
        <v>181</v>
      </c>
      <c r="B190" s="488" t="s">
        <v>263</v>
      </c>
      <c r="C190" s="488" t="s">
        <v>874</v>
      </c>
      <c r="D190" s="498" t="s">
        <v>875</v>
      </c>
      <c r="E190" s="488" t="s">
        <v>256</v>
      </c>
      <c r="F190" s="488" t="s">
        <v>231</v>
      </c>
      <c r="G190" s="488">
        <v>3.4495480999999999</v>
      </c>
      <c r="H190" s="488"/>
      <c r="I190" s="493">
        <v>1.27</v>
      </c>
      <c r="J190" s="493"/>
      <c r="K190" s="493">
        <v>4.37</v>
      </c>
      <c r="L190" s="493"/>
      <c r="M190" s="493">
        <v>4.37</v>
      </c>
      <c r="N190" s="496">
        <v>0</v>
      </c>
      <c r="O190" s="496">
        <v>1</v>
      </c>
      <c r="P190" s="491" t="s">
        <v>546</v>
      </c>
    </row>
    <row r="191" spans="1:16" ht="30">
      <c r="A191" s="487">
        <v>182</v>
      </c>
      <c r="B191" s="487" t="s">
        <v>95</v>
      </c>
      <c r="C191" s="487">
        <v>43469</v>
      </c>
      <c r="D191" s="499" t="s">
        <v>876</v>
      </c>
      <c r="E191" s="487" t="s">
        <v>256</v>
      </c>
      <c r="F191" s="487" t="s">
        <v>244</v>
      </c>
      <c r="G191" s="487">
        <v>50.456640499999999</v>
      </c>
      <c r="H191" s="487"/>
      <c r="I191" s="494">
        <v>7.0000000000000007E-2</v>
      </c>
      <c r="J191" s="494"/>
      <c r="K191" s="494">
        <v>3.53</v>
      </c>
      <c r="L191" s="494"/>
      <c r="M191" s="494">
        <v>3.53</v>
      </c>
      <c r="N191" s="497">
        <v>0</v>
      </c>
      <c r="O191" s="497">
        <v>1</v>
      </c>
      <c r="P191" s="491" t="s">
        <v>546</v>
      </c>
    </row>
    <row r="192" spans="1:16" ht="15">
      <c r="A192" s="488">
        <v>183</v>
      </c>
      <c r="B192" s="488" t="s">
        <v>263</v>
      </c>
      <c r="C192" s="488" t="s">
        <v>877</v>
      </c>
      <c r="D192" s="498" t="s">
        <v>878</v>
      </c>
      <c r="E192" s="488" t="s">
        <v>256</v>
      </c>
      <c r="F192" s="488" t="s">
        <v>231</v>
      </c>
      <c r="G192" s="488">
        <v>0.21682789999999999</v>
      </c>
      <c r="H192" s="488"/>
      <c r="I192" s="493">
        <v>15.05</v>
      </c>
      <c r="J192" s="493"/>
      <c r="K192" s="493">
        <v>3.26</v>
      </c>
      <c r="L192" s="493"/>
      <c r="M192" s="493">
        <v>3.26</v>
      </c>
      <c r="N192" s="496">
        <v>0</v>
      </c>
      <c r="O192" s="496">
        <v>1</v>
      </c>
      <c r="P192" s="491" t="s">
        <v>546</v>
      </c>
    </row>
    <row r="193" spans="1:16" ht="15">
      <c r="A193" s="487">
        <v>184</v>
      </c>
      <c r="B193" s="487" t="s">
        <v>95</v>
      </c>
      <c r="C193" s="487">
        <v>5065</v>
      </c>
      <c r="D193" s="499" t="s">
        <v>879</v>
      </c>
      <c r="E193" s="487" t="s">
        <v>284</v>
      </c>
      <c r="F193" s="487" t="s">
        <v>285</v>
      </c>
      <c r="G193" s="487">
        <v>6.7799999999999999E-2</v>
      </c>
      <c r="H193" s="487"/>
      <c r="I193" s="494">
        <v>36.22</v>
      </c>
      <c r="J193" s="494"/>
      <c r="K193" s="494">
        <v>2.46</v>
      </c>
      <c r="L193" s="494"/>
      <c r="M193" s="494">
        <v>2.46</v>
      </c>
      <c r="N193" s="497">
        <v>0</v>
      </c>
      <c r="O193" s="497">
        <v>1</v>
      </c>
      <c r="P193" s="491" t="s">
        <v>546</v>
      </c>
    </row>
    <row r="194" spans="1:16" ht="30">
      <c r="A194" s="488">
        <v>185</v>
      </c>
      <c r="B194" s="488" t="s">
        <v>95</v>
      </c>
      <c r="C194" s="488">
        <v>14618</v>
      </c>
      <c r="D194" s="498" t="s">
        <v>880</v>
      </c>
      <c r="E194" s="488" t="s">
        <v>256</v>
      </c>
      <c r="F194" s="488" t="s">
        <v>262</v>
      </c>
      <c r="G194" s="488">
        <v>1.1822E-3</v>
      </c>
      <c r="H194" s="488"/>
      <c r="I194" s="493">
        <v>1543.85</v>
      </c>
      <c r="J194" s="493"/>
      <c r="K194" s="493">
        <v>1.83</v>
      </c>
      <c r="L194" s="493"/>
      <c r="M194" s="493">
        <v>1.83</v>
      </c>
      <c r="N194" s="496">
        <v>0</v>
      </c>
      <c r="O194" s="496">
        <v>1</v>
      </c>
      <c r="P194" s="491" t="s">
        <v>546</v>
      </c>
    </row>
    <row r="195" spans="1:16" ht="30">
      <c r="A195" s="487">
        <v>186</v>
      </c>
      <c r="B195" s="487" t="s">
        <v>263</v>
      </c>
      <c r="C195" s="487" t="s">
        <v>881</v>
      </c>
      <c r="D195" s="499" t="s">
        <v>882</v>
      </c>
      <c r="E195" s="487" t="s">
        <v>256</v>
      </c>
      <c r="F195" s="487" t="s">
        <v>231</v>
      </c>
      <c r="G195" s="487">
        <v>2.3809999999999999E-3</v>
      </c>
      <c r="H195" s="487"/>
      <c r="I195" s="494">
        <v>313.94</v>
      </c>
      <c r="J195" s="494"/>
      <c r="K195" s="494">
        <v>0.75</v>
      </c>
      <c r="L195" s="494"/>
      <c r="M195" s="494">
        <v>0.75</v>
      </c>
      <c r="N195" s="497">
        <v>0</v>
      </c>
      <c r="O195" s="497">
        <v>1</v>
      </c>
      <c r="P195" s="491" t="s">
        <v>546</v>
      </c>
    </row>
    <row r="196" spans="1:16" ht="15">
      <c r="A196" s="488">
        <v>187</v>
      </c>
      <c r="B196" s="488" t="s">
        <v>263</v>
      </c>
      <c r="C196" s="488" t="s">
        <v>883</v>
      </c>
      <c r="D196" s="498" t="s">
        <v>884</v>
      </c>
      <c r="E196" s="488" t="s">
        <v>256</v>
      </c>
      <c r="F196" s="488" t="s">
        <v>231</v>
      </c>
      <c r="G196" s="488">
        <v>0.16262090000000001</v>
      </c>
      <c r="H196" s="488"/>
      <c r="I196" s="493">
        <v>0.21</v>
      </c>
      <c r="J196" s="493"/>
      <c r="K196" s="493">
        <v>0.03</v>
      </c>
      <c r="L196" s="493"/>
      <c r="M196" s="493">
        <v>0.03</v>
      </c>
      <c r="N196" s="496">
        <v>0</v>
      </c>
      <c r="O196" s="496">
        <v>1</v>
      </c>
      <c r="P196" s="491" t="s">
        <v>546</v>
      </c>
    </row>
    <row r="197" spans="1:16" ht="15">
      <c r="A197" s="487"/>
      <c r="B197" s="487"/>
      <c r="C197" s="487"/>
      <c r="D197" s="499"/>
      <c r="E197" s="487"/>
      <c r="F197" s="487"/>
      <c r="G197" s="487"/>
      <c r="H197" s="487"/>
      <c r="I197" s="494"/>
      <c r="J197" s="494"/>
      <c r="K197" s="494"/>
      <c r="L197" s="494"/>
      <c r="M197" s="494"/>
      <c r="N197" s="497"/>
      <c r="O197" s="497"/>
      <c r="P197" s="491"/>
    </row>
    <row r="198" spans="1:16" ht="15.75">
      <c r="A198" s="487"/>
      <c r="B198" s="487"/>
      <c r="C198" s="487"/>
      <c r="D198" s="499"/>
      <c r="E198" s="487"/>
      <c r="F198" s="487"/>
      <c r="G198" s="487"/>
      <c r="H198" s="487"/>
      <c r="I198" s="494"/>
      <c r="J198" s="494"/>
      <c r="K198" s="457" t="s">
        <v>885</v>
      </c>
      <c r="L198" s="494" t="s">
        <v>885</v>
      </c>
      <c r="M198" s="500">
        <v>5952634.46</v>
      </c>
      <c r="N198" s="497"/>
      <c r="O198" s="497"/>
      <c r="P198" s="487"/>
    </row>
    <row r="199" spans="1:16" ht="15.75">
      <c r="A199" s="487"/>
      <c r="B199" s="487"/>
      <c r="C199" s="487"/>
      <c r="D199" s="499"/>
      <c r="E199" s="487"/>
      <c r="F199" s="487"/>
      <c r="G199" s="492"/>
      <c r="H199" s="492"/>
      <c r="I199" s="495"/>
      <c r="J199" s="495"/>
      <c r="K199" s="495"/>
      <c r="L199" s="495"/>
      <c r="M199" s="495"/>
      <c r="N199" s="497"/>
      <c r="O199" s="497"/>
      <c r="P199" s="487"/>
    </row>
    <row r="200" spans="1:16" ht="15.75">
      <c r="A200" s="455"/>
      <c r="B200" s="455"/>
      <c r="C200" s="455"/>
      <c r="D200" s="459"/>
      <c r="E200" s="455"/>
      <c r="F200" s="455"/>
      <c r="G200" s="456"/>
      <c r="H200" s="456"/>
      <c r="I200" s="457"/>
      <c r="J200" s="457"/>
      <c r="K200" s="457"/>
      <c r="L200" s="457" t="s">
        <v>885</v>
      </c>
      <c r="M200" s="457"/>
      <c r="N200" s="458"/>
      <c r="O200" s="458"/>
    </row>
  </sheetData>
  <mergeCells count="14">
    <mergeCell ref="I8:J8"/>
    <mergeCell ref="K8:M8"/>
    <mergeCell ref="N8:N9"/>
    <mergeCell ref="O8:O9"/>
    <mergeCell ref="A3:C3"/>
    <mergeCell ref="A8:A9"/>
    <mergeCell ref="B8:B9"/>
    <mergeCell ref="C8:C9"/>
    <mergeCell ref="D8:D9"/>
    <mergeCell ref="E8:E9"/>
    <mergeCell ref="D3:P3"/>
    <mergeCell ref="P8:P9"/>
    <mergeCell ref="F8:F9"/>
    <mergeCell ref="G8:H8"/>
  </mergeCells>
  <printOptions horizontalCentered="1" verticalCentered="1"/>
  <pageMargins left="0.31496062992125984" right="0.31496062992125984" top="0.78740157480314965" bottom="0.78740157480314965" header="0.31496062992125984" footer="0.31496062992125984"/>
  <pageSetup paperSize="9" scale="6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7129A-2BC6-4711-9CC8-371D1A1B4D00}">
  <dimension ref="A1:L48"/>
  <sheetViews>
    <sheetView workbookViewId="0">
      <selection activeCell="K14" sqref="K14"/>
    </sheetView>
  </sheetViews>
  <sheetFormatPr defaultRowHeight="12.75"/>
  <cols>
    <col min="1" max="1" width="6.5703125" style="6" customWidth="1"/>
    <col min="2" max="2" width="10" customWidth="1"/>
    <col min="3" max="3" width="9.140625" customWidth="1"/>
    <col min="4" max="4" width="63.28515625" customWidth="1"/>
    <col min="5" max="5" width="22" customWidth="1"/>
    <col min="6" max="6" width="11" customWidth="1"/>
    <col min="7" max="7" width="12" customWidth="1"/>
    <col min="8" max="9" width="17" customWidth="1"/>
    <col min="10" max="10" width="10" customWidth="1"/>
    <col min="11" max="11" width="14.42578125" customWidth="1"/>
    <col min="12" max="12" width="9" customWidth="1"/>
  </cols>
  <sheetData>
    <row r="1" spans="1:12">
      <c r="A1" s="478"/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</row>
    <row r="2" spans="1:12" ht="17.25">
      <c r="A2" s="479"/>
      <c r="B2" s="384"/>
      <c r="C2" s="384"/>
      <c r="D2" s="385"/>
      <c r="E2" s="384"/>
      <c r="F2" s="384" t="s">
        <v>222</v>
      </c>
      <c r="G2" s="384"/>
      <c r="H2" s="384"/>
      <c r="I2" s="384"/>
      <c r="J2" s="384"/>
      <c r="K2" s="384"/>
      <c r="L2" s="386"/>
    </row>
    <row r="3" spans="1:12" ht="57" customHeight="1">
      <c r="A3" s="571" t="s">
        <v>223</v>
      </c>
      <c r="B3" s="660"/>
      <c r="C3" s="660"/>
      <c r="D3" s="568" t="str">
        <f>PLANILHA!A4</f>
        <v>OBJETO: CONTRATAÇÃO DE EMPRESA ESPECIALIZADA EM ENGENHARIA PARA EXECUÇÃO DE SERVIÇOS DE DRENAGEM, TERRAPLENAGEM E PAVIMENTAÇÃO ASFÁLTICA, LOCALIZADA NA AV. MAÇARANDUBA, RUA DEUSANIRA, AV. BRAGANÇA, RUA GRAVIOLA, RUA JAMBEIRO, RUA ÓBIDOS, RUA SÃO MIGUEL E RUA SEBERI  NA CIDADE DE TUCUMÃ NO ESTADO DO PARÁ</v>
      </c>
      <c r="E3" s="568"/>
      <c r="F3" s="568"/>
      <c r="G3" s="568"/>
      <c r="H3" s="568"/>
      <c r="I3" s="568"/>
      <c r="J3" s="568"/>
      <c r="K3" s="568"/>
      <c r="L3" s="569"/>
    </row>
    <row r="4" spans="1:12" ht="17.25">
      <c r="A4" s="480"/>
      <c r="B4" s="382"/>
      <c r="C4" s="382"/>
      <c r="D4" s="389"/>
      <c r="E4" s="382"/>
      <c r="F4" s="382"/>
      <c r="G4" s="382"/>
      <c r="H4" s="382"/>
      <c r="I4" s="382"/>
      <c r="J4" s="382"/>
      <c r="K4" s="382"/>
      <c r="L4" s="387"/>
    </row>
    <row r="5" spans="1:12" ht="26.25">
      <c r="A5" s="480"/>
      <c r="B5" s="382"/>
      <c r="C5" s="382"/>
      <c r="D5" s="390" t="s">
        <v>886</v>
      </c>
      <c r="E5" s="382"/>
      <c r="F5" s="382"/>
      <c r="G5" s="382"/>
      <c r="H5" s="382"/>
      <c r="I5" s="382"/>
      <c r="J5" s="382"/>
      <c r="K5" s="382"/>
      <c r="L5" s="387"/>
    </row>
    <row r="6" spans="1:12">
      <c r="A6" s="481"/>
      <c r="B6" s="392"/>
      <c r="C6" s="392"/>
      <c r="D6" s="392"/>
      <c r="E6" s="392"/>
      <c r="F6" s="392"/>
      <c r="G6" s="392"/>
      <c r="H6" s="392"/>
      <c r="I6" s="392"/>
      <c r="J6" s="392"/>
      <c r="K6" s="392"/>
      <c r="L6" s="393"/>
    </row>
    <row r="7" spans="1:12">
      <c r="A7" s="478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2"/>
    </row>
    <row r="8" spans="1:12">
      <c r="A8" s="482" t="s">
        <v>648</v>
      </c>
      <c r="B8" s="424" t="s">
        <v>227</v>
      </c>
      <c r="C8" s="424" t="s">
        <v>228</v>
      </c>
      <c r="D8" s="424" t="s">
        <v>229</v>
      </c>
      <c r="E8" s="424" t="s">
        <v>226</v>
      </c>
      <c r="F8" s="424" t="s">
        <v>231</v>
      </c>
      <c r="G8" s="424" t="s">
        <v>887</v>
      </c>
      <c r="H8" s="424" t="s">
        <v>888</v>
      </c>
      <c r="I8" s="424" t="s">
        <v>234</v>
      </c>
      <c r="J8" s="424" t="s">
        <v>475</v>
      </c>
      <c r="K8" s="424" t="s">
        <v>650</v>
      </c>
      <c r="L8" s="424" t="s">
        <v>651</v>
      </c>
    </row>
    <row r="9" spans="1:12" ht="45">
      <c r="A9" s="483">
        <v>1</v>
      </c>
      <c r="B9" s="474" t="s">
        <v>95</v>
      </c>
      <c r="C9" s="470">
        <v>95995</v>
      </c>
      <c r="D9" s="471" t="s">
        <v>195</v>
      </c>
      <c r="E9" s="470" t="s">
        <v>274</v>
      </c>
      <c r="F9" s="470" t="s">
        <v>114</v>
      </c>
      <c r="G9" s="470">
        <v>897.45</v>
      </c>
      <c r="H9" s="472">
        <f>PLANILHA!H73</f>
        <v>3335.41</v>
      </c>
      <c r="I9" s="472">
        <f>TRUNC(H9*G9,2)</f>
        <v>2993363.7</v>
      </c>
      <c r="J9" s="473">
        <f t="shared" ref="J9:J46" si="0">I9/$I$48</f>
        <v>0.38879773608336404</v>
      </c>
      <c r="K9" s="473">
        <f>J9</f>
        <v>0.38879773608336404</v>
      </c>
      <c r="L9" s="421" t="s">
        <v>510</v>
      </c>
    </row>
    <row r="10" spans="1:12" ht="45">
      <c r="A10" s="484">
        <v>2</v>
      </c>
      <c r="B10" s="474" t="s">
        <v>95</v>
      </c>
      <c r="C10" s="474">
        <v>94994</v>
      </c>
      <c r="D10" s="475" t="s">
        <v>215</v>
      </c>
      <c r="E10" s="474" t="s">
        <v>889</v>
      </c>
      <c r="F10" s="474" t="s">
        <v>97</v>
      </c>
      <c r="G10" s="474">
        <v>5547</v>
      </c>
      <c r="H10" s="472">
        <f>PLANILHA!H87</f>
        <v>143.57</v>
      </c>
      <c r="I10" s="472">
        <f>TRUNC(H10*G10,2)</f>
        <v>796382.79</v>
      </c>
      <c r="J10" s="473">
        <f t="shared" si="0"/>
        <v>0.1034394269589603</v>
      </c>
      <c r="K10" s="477">
        <f>J10+K9</f>
        <v>0.49223716304232434</v>
      </c>
      <c r="L10" s="421" t="s">
        <v>510</v>
      </c>
    </row>
    <row r="11" spans="1:12" ht="60">
      <c r="A11" s="483">
        <v>3</v>
      </c>
      <c r="B11" s="470" t="s">
        <v>95</v>
      </c>
      <c r="C11" s="470">
        <v>92223</v>
      </c>
      <c r="D11" s="471" t="s">
        <v>890</v>
      </c>
      <c r="E11" s="470" t="s">
        <v>891</v>
      </c>
      <c r="F11" s="470" t="s">
        <v>107</v>
      </c>
      <c r="G11" s="470">
        <v>1065.6400000000001</v>
      </c>
      <c r="H11" s="472">
        <f>PLANILHA!H35</f>
        <v>619.05999999999995</v>
      </c>
      <c r="I11" s="472">
        <f t="shared" ref="I11:I46" si="1">TRUNC(H11*G11,2)</f>
        <v>659695.09</v>
      </c>
      <c r="J11" s="473">
        <f t="shared" si="0"/>
        <v>8.5685530795108877E-2</v>
      </c>
      <c r="K11" s="477">
        <f t="shared" ref="K11:K46" si="2">J11+K10</f>
        <v>0.57792269383743322</v>
      </c>
      <c r="L11" s="421" t="s">
        <v>510</v>
      </c>
    </row>
    <row r="12" spans="1:12" ht="45">
      <c r="A12" s="483">
        <v>4</v>
      </c>
      <c r="B12" s="470" t="s">
        <v>95</v>
      </c>
      <c r="C12" s="470">
        <v>95875</v>
      </c>
      <c r="D12" s="471" t="s">
        <v>116</v>
      </c>
      <c r="E12" s="470" t="s">
        <v>892</v>
      </c>
      <c r="F12" s="470" t="s">
        <v>117</v>
      </c>
      <c r="G12" s="470">
        <v>198517.86</v>
      </c>
      <c r="H12" s="472">
        <f>PLANILHA!H64</f>
        <v>3.21</v>
      </c>
      <c r="I12" s="472">
        <f>TRUNC(H12*G12,2)</f>
        <v>637242.32999999996</v>
      </c>
      <c r="J12" s="473">
        <f t="shared" si="0"/>
        <v>8.2769218869223254E-2</v>
      </c>
      <c r="K12" s="477">
        <f t="shared" si="2"/>
        <v>0.6606919127066565</v>
      </c>
      <c r="L12" s="421" t="s">
        <v>510</v>
      </c>
    </row>
    <row r="13" spans="1:12" ht="60">
      <c r="A13" s="484">
        <v>5</v>
      </c>
      <c r="B13" s="474" t="s">
        <v>95</v>
      </c>
      <c r="C13" s="474">
        <v>94267</v>
      </c>
      <c r="D13" s="475" t="s">
        <v>209</v>
      </c>
      <c r="E13" s="474" t="s">
        <v>893</v>
      </c>
      <c r="F13" s="474" t="s">
        <v>107</v>
      </c>
      <c r="G13" s="474">
        <v>5544.83</v>
      </c>
      <c r="H13" s="476">
        <f>PLANILHA!H83</f>
        <v>85.51</v>
      </c>
      <c r="I13" s="472">
        <f t="shared" si="1"/>
        <v>474138.41</v>
      </c>
      <c r="J13" s="473">
        <f t="shared" si="0"/>
        <v>6.1584210564912589E-2</v>
      </c>
      <c r="K13" s="477">
        <f t="shared" si="2"/>
        <v>0.72227612327156909</v>
      </c>
      <c r="L13" s="421" t="s">
        <v>510</v>
      </c>
    </row>
    <row r="14" spans="1:12" ht="45">
      <c r="A14" s="484">
        <v>6</v>
      </c>
      <c r="B14" s="474" t="s">
        <v>95</v>
      </c>
      <c r="C14" s="474">
        <v>101126</v>
      </c>
      <c r="D14" s="475" t="s">
        <v>167</v>
      </c>
      <c r="E14" s="474" t="s">
        <v>894</v>
      </c>
      <c r="F14" s="474" t="s">
        <v>114</v>
      </c>
      <c r="G14" s="474">
        <v>19173.669999999998</v>
      </c>
      <c r="H14" s="476">
        <f>PLANILHA!H63</f>
        <v>17.32</v>
      </c>
      <c r="I14" s="472">
        <f t="shared" si="1"/>
        <v>332087.96000000002</v>
      </c>
      <c r="J14" s="473">
        <f t="shared" si="0"/>
        <v>4.3133765211538701E-2</v>
      </c>
      <c r="K14" s="477">
        <f t="shared" si="2"/>
        <v>0.76540988848310776</v>
      </c>
      <c r="L14" s="421" t="s">
        <v>510</v>
      </c>
    </row>
    <row r="15" spans="1:12" ht="60">
      <c r="A15" s="483">
        <v>7</v>
      </c>
      <c r="B15" s="474" t="s">
        <v>95</v>
      </c>
      <c r="C15" s="474">
        <v>101768</v>
      </c>
      <c r="D15" s="475" t="s">
        <v>177</v>
      </c>
      <c r="E15" s="474" t="s">
        <v>274</v>
      </c>
      <c r="F15" s="474" t="s">
        <v>114</v>
      </c>
      <c r="G15" s="474">
        <v>8101.44</v>
      </c>
      <c r="H15" s="476">
        <f>PLANILHA!H65</f>
        <v>31.07</v>
      </c>
      <c r="I15" s="472">
        <f t="shared" si="1"/>
        <v>251711.74</v>
      </c>
      <c r="J15" s="473">
        <f t="shared" si="0"/>
        <v>3.2693973892181677E-2</v>
      </c>
      <c r="K15" s="477">
        <f t="shared" si="2"/>
        <v>0.79810386237528941</v>
      </c>
      <c r="L15" s="421" t="s">
        <v>510</v>
      </c>
    </row>
    <row r="16" spans="1:12" ht="15">
      <c r="A16" s="484">
        <v>8</v>
      </c>
      <c r="B16" s="470" t="s">
        <v>237</v>
      </c>
      <c r="C16" s="470">
        <v>8</v>
      </c>
      <c r="D16" s="471" t="s">
        <v>189</v>
      </c>
      <c r="E16" s="470" t="s">
        <v>274</v>
      </c>
      <c r="F16" s="470" t="s">
        <v>97</v>
      </c>
      <c r="G16" s="470">
        <v>17949</v>
      </c>
      <c r="H16" s="472">
        <f>PLANILHA!H70</f>
        <v>10.52</v>
      </c>
      <c r="I16" s="472">
        <f t="shared" si="1"/>
        <v>188823.48</v>
      </c>
      <c r="J16" s="473">
        <f t="shared" si="0"/>
        <v>2.452563366869932E-2</v>
      </c>
      <c r="K16" s="477">
        <f t="shared" si="2"/>
        <v>0.82262949604398872</v>
      </c>
      <c r="L16" s="422" t="s">
        <v>533</v>
      </c>
    </row>
    <row r="17" spans="1:12" ht="45">
      <c r="A17" s="483">
        <v>9</v>
      </c>
      <c r="B17" s="474" t="s">
        <v>95</v>
      </c>
      <c r="C17" s="474">
        <v>99267</v>
      </c>
      <c r="D17" s="475" t="s">
        <v>895</v>
      </c>
      <c r="E17" s="474" t="s">
        <v>893</v>
      </c>
      <c r="F17" s="474" t="s">
        <v>262</v>
      </c>
      <c r="G17" s="474">
        <v>23</v>
      </c>
      <c r="H17" s="476">
        <f>PLANILHA!H39</f>
        <v>6562.4</v>
      </c>
      <c r="I17" s="472">
        <f t="shared" si="1"/>
        <v>150935.20000000001</v>
      </c>
      <c r="J17" s="473">
        <f t="shared" si="0"/>
        <v>1.9604455033409327E-2</v>
      </c>
      <c r="K17" s="477">
        <f t="shared" si="2"/>
        <v>0.84223395107739807</v>
      </c>
      <c r="L17" s="422" t="s">
        <v>533</v>
      </c>
    </row>
    <row r="18" spans="1:12" ht="15">
      <c r="A18" s="484">
        <v>10</v>
      </c>
      <c r="B18" s="470" t="s">
        <v>237</v>
      </c>
      <c r="C18" s="470">
        <v>1</v>
      </c>
      <c r="D18" s="471" t="s">
        <v>238</v>
      </c>
      <c r="E18" s="470" t="s">
        <v>239</v>
      </c>
      <c r="F18" s="470" t="s">
        <v>91</v>
      </c>
      <c r="G18" s="470">
        <v>3</v>
      </c>
      <c r="H18" s="472">
        <f>PLANILHA!H9</f>
        <v>48533.98</v>
      </c>
      <c r="I18" s="472">
        <f t="shared" si="1"/>
        <v>145601.94</v>
      </c>
      <c r="J18" s="473">
        <f t="shared" si="0"/>
        <v>1.8911736198760548E-2</v>
      </c>
      <c r="K18" s="477">
        <f t="shared" si="2"/>
        <v>0.86114568727615859</v>
      </c>
      <c r="L18" s="422" t="s">
        <v>533</v>
      </c>
    </row>
    <row r="19" spans="1:12" ht="45">
      <c r="A19" s="483">
        <v>11</v>
      </c>
      <c r="B19" s="474" t="s">
        <v>95</v>
      </c>
      <c r="C19" s="474">
        <v>97949</v>
      </c>
      <c r="D19" s="475" t="s">
        <v>149</v>
      </c>
      <c r="E19" s="474" t="s">
        <v>893</v>
      </c>
      <c r="F19" s="474" t="s">
        <v>262</v>
      </c>
      <c r="G19" s="474">
        <v>44</v>
      </c>
      <c r="H19" s="476">
        <f>PLANILHA!H41</f>
        <v>2465.75</v>
      </c>
      <c r="I19" s="472">
        <f t="shared" si="1"/>
        <v>108493</v>
      </c>
      <c r="J19" s="473">
        <f t="shared" si="0"/>
        <v>1.4091783360936867E-2</v>
      </c>
      <c r="K19" s="477">
        <f t="shared" si="2"/>
        <v>0.87523747063709545</v>
      </c>
      <c r="L19" s="422" t="s">
        <v>533</v>
      </c>
    </row>
    <row r="20" spans="1:12" ht="75">
      <c r="A20" s="484">
        <v>12</v>
      </c>
      <c r="B20" s="470" t="s">
        <v>95</v>
      </c>
      <c r="C20" s="470">
        <v>93369</v>
      </c>
      <c r="D20" s="471" t="s">
        <v>143</v>
      </c>
      <c r="E20" s="470" t="s">
        <v>894</v>
      </c>
      <c r="F20" s="470" t="s">
        <v>114</v>
      </c>
      <c r="G20" s="470">
        <v>4932.0200000000004</v>
      </c>
      <c r="H20" s="472">
        <f>PLANILHA!H38</f>
        <v>20.58</v>
      </c>
      <c r="I20" s="472">
        <f t="shared" si="1"/>
        <v>101500.97</v>
      </c>
      <c r="J20" s="473">
        <f t="shared" si="0"/>
        <v>1.31836125848207E-2</v>
      </c>
      <c r="K20" s="477">
        <f t="shared" si="2"/>
        <v>0.88842108322191615</v>
      </c>
      <c r="L20" s="422" t="s">
        <v>533</v>
      </c>
    </row>
    <row r="21" spans="1:12" ht="30">
      <c r="A21" s="483">
        <v>13</v>
      </c>
      <c r="B21" s="474" t="s">
        <v>237</v>
      </c>
      <c r="C21" s="474">
        <v>96402</v>
      </c>
      <c r="D21" s="475" t="s">
        <v>191</v>
      </c>
      <c r="E21" s="474" t="s">
        <v>274</v>
      </c>
      <c r="F21" s="474" t="s">
        <v>97</v>
      </c>
      <c r="G21" s="474">
        <v>17949</v>
      </c>
      <c r="H21" s="476">
        <f>PLANILHA!H71</f>
        <v>4.97</v>
      </c>
      <c r="I21" s="472">
        <f t="shared" si="1"/>
        <v>89206.53</v>
      </c>
      <c r="J21" s="473">
        <f t="shared" si="0"/>
        <v>1.158672997466118E-2</v>
      </c>
      <c r="K21" s="477">
        <f t="shared" si="2"/>
        <v>0.9000078131965773</v>
      </c>
      <c r="L21" s="422" t="s">
        <v>533</v>
      </c>
    </row>
    <row r="22" spans="1:12" ht="30">
      <c r="A22" s="484">
        <v>14</v>
      </c>
      <c r="B22" s="470" t="s">
        <v>95</v>
      </c>
      <c r="C22" s="470">
        <v>100576</v>
      </c>
      <c r="D22" s="471" t="s">
        <v>170</v>
      </c>
      <c r="E22" s="470" t="s">
        <v>274</v>
      </c>
      <c r="F22" s="470" t="s">
        <v>97</v>
      </c>
      <c r="G22" s="470">
        <v>22558.35</v>
      </c>
      <c r="H22" s="472">
        <f>PLANILHA!H53</f>
        <v>3.23</v>
      </c>
      <c r="I22" s="472">
        <f t="shared" si="1"/>
        <v>72863.47</v>
      </c>
      <c r="J22" s="473">
        <f t="shared" si="0"/>
        <v>9.463986009845082E-3</v>
      </c>
      <c r="K22" s="477">
        <f t="shared" si="2"/>
        <v>0.9094717992064224</v>
      </c>
      <c r="L22" s="423" t="s">
        <v>546</v>
      </c>
    </row>
    <row r="23" spans="1:12" ht="60">
      <c r="A23" s="483">
        <v>15</v>
      </c>
      <c r="B23" s="474" t="s">
        <v>95</v>
      </c>
      <c r="C23" s="474">
        <v>92226</v>
      </c>
      <c r="D23" s="475" t="s">
        <v>896</v>
      </c>
      <c r="E23" s="474" t="s">
        <v>891</v>
      </c>
      <c r="F23" s="474" t="s">
        <v>107</v>
      </c>
      <c r="G23" s="474">
        <v>88.4</v>
      </c>
      <c r="H23" s="476">
        <f>PLANILHA!H34</f>
        <v>748.5</v>
      </c>
      <c r="I23" s="472">
        <f t="shared" si="1"/>
        <v>66167.399999999994</v>
      </c>
      <c r="J23" s="473">
        <f t="shared" si="0"/>
        <v>8.5942564622275529E-3</v>
      </c>
      <c r="K23" s="477">
        <f t="shared" si="2"/>
        <v>0.91806605566864996</v>
      </c>
      <c r="L23" s="423" t="s">
        <v>546</v>
      </c>
    </row>
    <row r="24" spans="1:12" ht="45">
      <c r="A24" s="484">
        <v>16</v>
      </c>
      <c r="B24" s="470" t="s">
        <v>95</v>
      </c>
      <c r="C24" s="470">
        <v>97635</v>
      </c>
      <c r="D24" s="471" t="s">
        <v>111</v>
      </c>
      <c r="E24" s="470" t="s">
        <v>897</v>
      </c>
      <c r="F24" s="470" t="s">
        <v>97</v>
      </c>
      <c r="G24" s="470">
        <v>3336</v>
      </c>
      <c r="H24" s="472">
        <f>PLANILHA!H20</f>
        <v>19.8</v>
      </c>
      <c r="I24" s="472">
        <f t="shared" si="1"/>
        <v>66052.800000000003</v>
      </c>
      <c r="J24" s="473">
        <f t="shared" si="0"/>
        <v>8.5793714615992802E-3</v>
      </c>
      <c r="K24" s="477">
        <f t="shared" si="2"/>
        <v>0.92664542713024922</v>
      </c>
      <c r="L24" s="423" t="s">
        <v>546</v>
      </c>
    </row>
    <row r="25" spans="1:12" ht="75">
      <c r="A25" s="483">
        <v>17</v>
      </c>
      <c r="B25" s="474" t="s">
        <v>95</v>
      </c>
      <c r="C25" s="474">
        <v>90087</v>
      </c>
      <c r="D25" s="475" t="s">
        <v>898</v>
      </c>
      <c r="E25" s="474" t="s">
        <v>894</v>
      </c>
      <c r="F25" s="474" t="s">
        <v>114</v>
      </c>
      <c r="G25" s="474">
        <v>5257.01</v>
      </c>
      <c r="H25" s="476">
        <f>PLANILHA!H30</f>
        <v>12.13</v>
      </c>
      <c r="I25" s="472">
        <f t="shared" si="1"/>
        <v>63767.53</v>
      </c>
      <c r="J25" s="473">
        <f t="shared" si="0"/>
        <v>8.2825455856326436E-3</v>
      </c>
      <c r="K25" s="477">
        <f t="shared" si="2"/>
        <v>0.93492797271588191</v>
      </c>
      <c r="L25" s="423" t="s">
        <v>546</v>
      </c>
    </row>
    <row r="26" spans="1:12" ht="60">
      <c r="A26" s="484">
        <v>18</v>
      </c>
      <c r="B26" s="470" t="s">
        <v>95</v>
      </c>
      <c r="C26" s="470">
        <v>92219</v>
      </c>
      <c r="D26" s="471" t="s">
        <v>899</v>
      </c>
      <c r="E26" s="470" t="s">
        <v>891</v>
      </c>
      <c r="F26" s="470" t="s">
        <v>107</v>
      </c>
      <c r="G26" s="470">
        <v>274.01</v>
      </c>
      <c r="H26" s="472">
        <f>PLANILHA!H36</f>
        <v>222.29</v>
      </c>
      <c r="I26" s="472">
        <f t="shared" si="1"/>
        <v>60909.68</v>
      </c>
      <c r="J26" s="473">
        <f t="shared" si="0"/>
        <v>7.91134925888296E-3</v>
      </c>
      <c r="K26" s="477">
        <f t="shared" si="2"/>
        <v>0.94283932197476483</v>
      </c>
      <c r="L26" s="423" t="s">
        <v>546</v>
      </c>
    </row>
    <row r="27" spans="1:12" ht="60">
      <c r="A27" s="483">
        <v>19</v>
      </c>
      <c r="B27" s="474" t="s">
        <v>95</v>
      </c>
      <c r="C27" s="474">
        <v>102512</v>
      </c>
      <c r="D27" s="475" t="s">
        <v>199</v>
      </c>
      <c r="E27" s="474" t="s">
        <v>900</v>
      </c>
      <c r="F27" s="474" t="s">
        <v>107</v>
      </c>
      <c r="G27" s="474">
        <v>8633.4500000000007</v>
      </c>
      <c r="H27" s="476">
        <f>PLANILHA!H77</f>
        <v>6.85</v>
      </c>
      <c r="I27" s="472">
        <f t="shared" si="1"/>
        <v>59139.13</v>
      </c>
      <c r="J27" s="473">
        <f t="shared" si="0"/>
        <v>7.6813785969074705E-3</v>
      </c>
      <c r="K27" s="477">
        <f t="shared" si="2"/>
        <v>0.95052070057167226</v>
      </c>
      <c r="L27" s="423" t="s">
        <v>546</v>
      </c>
    </row>
    <row r="28" spans="1:12" ht="30">
      <c r="A28" s="484">
        <v>20</v>
      </c>
      <c r="B28" s="470" t="s">
        <v>95</v>
      </c>
      <c r="C28" s="470">
        <v>97636</v>
      </c>
      <c r="D28" s="471" t="s">
        <v>109</v>
      </c>
      <c r="E28" s="470" t="s">
        <v>901</v>
      </c>
      <c r="F28" s="470" t="s">
        <v>97</v>
      </c>
      <c r="G28" s="470">
        <v>2110.46</v>
      </c>
      <c r="H28" s="472">
        <f>PLANILHA!H19</f>
        <v>27.45</v>
      </c>
      <c r="I28" s="472">
        <f t="shared" si="1"/>
        <v>57932.12</v>
      </c>
      <c r="J28" s="473">
        <f t="shared" si="0"/>
        <v>7.5246042111454005E-3</v>
      </c>
      <c r="K28" s="477">
        <f t="shared" si="2"/>
        <v>0.95804530478281769</v>
      </c>
      <c r="L28" s="423" t="s">
        <v>546</v>
      </c>
    </row>
    <row r="29" spans="1:12" ht="30">
      <c r="A29" s="483">
        <v>21</v>
      </c>
      <c r="B29" s="474" t="s">
        <v>95</v>
      </c>
      <c r="C29" s="474">
        <v>100323</v>
      </c>
      <c r="D29" s="475" t="s">
        <v>132</v>
      </c>
      <c r="E29" s="474" t="s">
        <v>902</v>
      </c>
      <c r="F29" s="474" t="s">
        <v>114</v>
      </c>
      <c r="G29" s="474">
        <v>234.16</v>
      </c>
      <c r="H29" s="476">
        <f>PLANILHA!H33</f>
        <v>214.15</v>
      </c>
      <c r="I29" s="472">
        <f t="shared" si="1"/>
        <v>50145.36</v>
      </c>
      <c r="J29" s="473">
        <f t="shared" si="0"/>
        <v>6.5132086832900655E-3</v>
      </c>
      <c r="K29" s="477">
        <f t="shared" si="2"/>
        <v>0.96455851346610777</v>
      </c>
      <c r="L29" s="423" t="s">
        <v>546</v>
      </c>
    </row>
    <row r="30" spans="1:12" ht="15">
      <c r="A30" s="484">
        <v>22</v>
      </c>
      <c r="B30" s="470" t="s">
        <v>237</v>
      </c>
      <c r="C30" s="470">
        <v>3</v>
      </c>
      <c r="D30" s="471" t="s">
        <v>261</v>
      </c>
      <c r="E30" s="470" t="s">
        <v>93</v>
      </c>
      <c r="F30" s="470" t="s">
        <v>262</v>
      </c>
      <c r="G30" s="470">
        <v>1</v>
      </c>
      <c r="H30" s="472">
        <f>PLANILHA!H26</f>
        <v>47992.78</v>
      </c>
      <c r="I30" s="472">
        <f t="shared" si="1"/>
        <v>47992.78</v>
      </c>
      <c r="J30" s="473">
        <f t="shared" si="0"/>
        <v>6.2336174559566391E-3</v>
      </c>
      <c r="K30" s="477">
        <f t="shared" si="2"/>
        <v>0.9707921309220644</v>
      </c>
      <c r="L30" s="423" t="s">
        <v>546</v>
      </c>
    </row>
    <row r="31" spans="1:12" ht="45">
      <c r="A31" s="483">
        <v>23</v>
      </c>
      <c r="B31" s="474" t="s">
        <v>95</v>
      </c>
      <c r="C31" s="474">
        <v>102740</v>
      </c>
      <c r="D31" s="475" t="s">
        <v>151</v>
      </c>
      <c r="E31" s="474" t="s">
        <v>893</v>
      </c>
      <c r="F31" s="474" t="s">
        <v>262</v>
      </c>
      <c r="G31" s="474">
        <v>5</v>
      </c>
      <c r="H31" s="476">
        <f>PLANILHA!H42</f>
        <v>7701.62</v>
      </c>
      <c r="I31" s="472">
        <f t="shared" si="1"/>
        <v>38508.1</v>
      </c>
      <c r="J31" s="473">
        <f t="shared" si="0"/>
        <v>5.0016849275187607E-3</v>
      </c>
      <c r="K31" s="477">
        <f t="shared" si="2"/>
        <v>0.97579381584958313</v>
      </c>
      <c r="L31" s="423" t="s">
        <v>546</v>
      </c>
    </row>
    <row r="32" spans="1:12" ht="45">
      <c r="A32" s="484">
        <v>24</v>
      </c>
      <c r="B32" s="470" t="s">
        <v>95</v>
      </c>
      <c r="C32" s="470">
        <v>104790</v>
      </c>
      <c r="D32" s="471" t="s">
        <v>903</v>
      </c>
      <c r="E32" s="470" t="s">
        <v>897</v>
      </c>
      <c r="F32" s="470" t="s">
        <v>114</v>
      </c>
      <c r="G32" s="470">
        <v>290.83</v>
      </c>
      <c r="H32" s="472">
        <f>PLANILHA!H17</f>
        <v>126.77</v>
      </c>
      <c r="I32" s="472">
        <f t="shared" si="1"/>
        <v>36868.51</v>
      </c>
      <c r="J32" s="473">
        <f t="shared" si="0"/>
        <v>4.7887242104148152E-3</v>
      </c>
      <c r="K32" s="477">
        <f t="shared" si="2"/>
        <v>0.9805825400599979</v>
      </c>
      <c r="L32" s="423" t="s">
        <v>546</v>
      </c>
    </row>
    <row r="33" spans="1:12" ht="30">
      <c r="A33" s="483">
        <v>25</v>
      </c>
      <c r="B33" s="474" t="s">
        <v>95</v>
      </c>
      <c r="C33" s="474">
        <v>101617</v>
      </c>
      <c r="D33" s="475" t="s">
        <v>904</v>
      </c>
      <c r="E33" s="474" t="s">
        <v>894</v>
      </c>
      <c r="F33" s="474" t="s">
        <v>97</v>
      </c>
      <c r="G33" s="474">
        <v>7888.55</v>
      </c>
      <c r="H33" s="476">
        <f>PLANILHA!H86</f>
        <v>3.69</v>
      </c>
      <c r="I33" s="472">
        <f t="shared" si="1"/>
        <v>29108.74</v>
      </c>
      <c r="J33" s="473">
        <f t="shared" si="0"/>
        <v>3.7808343210146041E-3</v>
      </c>
      <c r="K33" s="477">
        <f t="shared" si="2"/>
        <v>0.98436337438101251</v>
      </c>
      <c r="L33" s="423" t="s">
        <v>546</v>
      </c>
    </row>
    <row r="34" spans="1:12" ht="15">
      <c r="A34" s="484">
        <v>26</v>
      </c>
      <c r="B34" s="470" t="s">
        <v>263</v>
      </c>
      <c r="C34" s="470">
        <v>2003457</v>
      </c>
      <c r="D34" s="471" t="s">
        <v>154</v>
      </c>
      <c r="E34" s="470" t="s">
        <v>905</v>
      </c>
      <c r="F34" s="470" t="s">
        <v>48</v>
      </c>
      <c r="G34" s="470">
        <v>5</v>
      </c>
      <c r="H34" s="472">
        <f>PLANILHA!H43</f>
        <v>4023.5</v>
      </c>
      <c r="I34" s="472">
        <f t="shared" si="1"/>
        <v>20117.5</v>
      </c>
      <c r="J34" s="473">
        <f t="shared" si="0"/>
        <v>2.6129930204128139E-3</v>
      </c>
      <c r="K34" s="477">
        <f t="shared" si="2"/>
        <v>0.98697636740142536</v>
      </c>
      <c r="L34" s="423" t="s">
        <v>546</v>
      </c>
    </row>
    <row r="35" spans="1:12" ht="45">
      <c r="A35" s="483">
        <v>27</v>
      </c>
      <c r="B35" s="474" t="s">
        <v>95</v>
      </c>
      <c r="C35" s="474">
        <v>100950</v>
      </c>
      <c r="D35" s="475" t="s">
        <v>906</v>
      </c>
      <c r="E35" s="474" t="s">
        <v>892</v>
      </c>
      <c r="F35" s="474" t="s">
        <v>141</v>
      </c>
      <c r="G35" s="474">
        <v>3953</v>
      </c>
      <c r="H35" s="476">
        <f>PLANILHA!H37</f>
        <v>4.68</v>
      </c>
      <c r="I35" s="472">
        <f t="shared" si="1"/>
        <v>18500.04</v>
      </c>
      <c r="J35" s="473">
        <f t="shared" si="0"/>
        <v>2.4029066930462469E-3</v>
      </c>
      <c r="K35" s="477">
        <f t="shared" si="2"/>
        <v>0.98937927409447157</v>
      </c>
      <c r="L35" s="423" t="s">
        <v>546</v>
      </c>
    </row>
    <row r="36" spans="1:12" ht="45">
      <c r="A36" s="484">
        <v>28</v>
      </c>
      <c r="B36" s="470" t="s">
        <v>95</v>
      </c>
      <c r="C36" s="470">
        <v>95876</v>
      </c>
      <c r="D36" s="471" t="s">
        <v>193</v>
      </c>
      <c r="E36" s="470" t="s">
        <v>892</v>
      </c>
      <c r="F36" s="470" t="s">
        <v>117</v>
      </c>
      <c r="G36" s="470">
        <v>5384.7</v>
      </c>
      <c r="H36" s="472">
        <f>PLANILHA!H72</f>
        <v>2.81</v>
      </c>
      <c r="I36" s="472">
        <f t="shared" si="1"/>
        <v>15131</v>
      </c>
      <c r="J36" s="473">
        <f t="shared" si="0"/>
        <v>1.9653136518884696E-3</v>
      </c>
      <c r="K36" s="477">
        <f t="shared" si="2"/>
        <v>0.99134458774636003</v>
      </c>
      <c r="L36" s="423" t="s">
        <v>546</v>
      </c>
    </row>
    <row r="37" spans="1:12" ht="45">
      <c r="A37" s="483">
        <v>29</v>
      </c>
      <c r="B37" s="474" t="s">
        <v>95</v>
      </c>
      <c r="C37" s="474">
        <v>98525</v>
      </c>
      <c r="D37" s="475" t="s">
        <v>165</v>
      </c>
      <c r="E37" s="474" t="s">
        <v>907</v>
      </c>
      <c r="F37" s="474" t="s">
        <v>97</v>
      </c>
      <c r="G37" s="474">
        <v>25258.83</v>
      </c>
      <c r="H37" s="476">
        <f>PLANILHA!H50</f>
        <v>0.49</v>
      </c>
      <c r="I37" s="472">
        <f t="shared" si="1"/>
        <v>12376.82</v>
      </c>
      <c r="J37" s="473">
        <f t="shared" si="0"/>
        <v>1.6075826655849743E-3</v>
      </c>
      <c r="K37" s="477">
        <f t="shared" si="2"/>
        <v>0.99295217041194506</v>
      </c>
      <c r="L37" s="423" t="s">
        <v>546</v>
      </c>
    </row>
    <row r="38" spans="1:12" ht="30">
      <c r="A38" s="484">
        <v>30</v>
      </c>
      <c r="B38" s="470" t="s">
        <v>95</v>
      </c>
      <c r="C38" s="470">
        <v>102498</v>
      </c>
      <c r="D38" s="471" t="s">
        <v>217</v>
      </c>
      <c r="E38" s="470" t="s">
        <v>900</v>
      </c>
      <c r="F38" s="470" t="s">
        <v>107</v>
      </c>
      <c r="G38" s="470">
        <v>5544.83</v>
      </c>
      <c r="H38" s="472">
        <f>PLANILHA!H88</f>
        <v>2.11</v>
      </c>
      <c r="I38" s="472">
        <f t="shared" si="1"/>
        <v>11699.59</v>
      </c>
      <c r="J38" s="473">
        <f t="shared" si="0"/>
        <v>1.5196195855196497E-3</v>
      </c>
      <c r="K38" s="477">
        <f t="shared" si="2"/>
        <v>0.99447178999746466</v>
      </c>
      <c r="L38" s="423" t="s">
        <v>546</v>
      </c>
    </row>
    <row r="39" spans="1:12" ht="30">
      <c r="A39" s="483">
        <v>31</v>
      </c>
      <c r="B39" s="474" t="s">
        <v>237</v>
      </c>
      <c r="C39" s="474">
        <v>2</v>
      </c>
      <c r="D39" s="475" t="s">
        <v>253</v>
      </c>
      <c r="E39" s="474" t="s">
        <v>93</v>
      </c>
      <c r="F39" s="474" t="s">
        <v>91</v>
      </c>
      <c r="G39" s="474">
        <v>3</v>
      </c>
      <c r="H39" s="476">
        <f>PLANILHA!H15</f>
        <v>3264.5</v>
      </c>
      <c r="I39" s="472">
        <f t="shared" si="1"/>
        <v>9793.5</v>
      </c>
      <c r="J39" s="473">
        <f t="shared" si="0"/>
        <v>1.2720440981937562E-3</v>
      </c>
      <c r="K39" s="477">
        <f t="shared" si="2"/>
        <v>0.99574383409565836</v>
      </c>
      <c r="L39" s="423" t="s">
        <v>546</v>
      </c>
    </row>
    <row r="40" spans="1:12" ht="60">
      <c r="A40" s="484">
        <v>32</v>
      </c>
      <c r="B40" s="470" t="s">
        <v>95</v>
      </c>
      <c r="C40" s="470">
        <v>100982</v>
      </c>
      <c r="D40" s="471" t="s">
        <v>113</v>
      </c>
      <c r="E40" s="470" t="s">
        <v>892</v>
      </c>
      <c r="F40" s="470" t="s">
        <v>114</v>
      </c>
      <c r="G40" s="470">
        <v>678.12</v>
      </c>
      <c r="H40" s="472">
        <f>PLANILHA!H21</f>
        <v>11.61</v>
      </c>
      <c r="I40" s="472">
        <f t="shared" si="1"/>
        <v>7872.97</v>
      </c>
      <c r="J40" s="473">
        <f t="shared" si="0"/>
        <v>1.0225930488340733E-3</v>
      </c>
      <c r="K40" s="477">
        <f t="shared" si="2"/>
        <v>0.99676642714449248</v>
      </c>
      <c r="L40" s="423" t="s">
        <v>546</v>
      </c>
    </row>
    <row r="41" spans="1:12" ht="30">
      <c r="A41" s="483">
        <v>33</v>
      </c>
      <c r="B41" s="474" t="s">
        <v>263</v>
      </c>
      <c r="C41" s="474">
        <v>5213858</v>
      </c>
      <c r="D41" s="475" t="s">
        <v>205</v>
      </c>
      <c r="E41" s="474" t="s">
        <v>905</v>
      </c>
      <c r="F41" s="474" t="s">
        <v>48</v>
      </c>
      <c r="G41" s="474">
        <v>12</v>
      </c>
      <c r="H41" s="476">
        <f>PLANILHA!H79</f>
        <v>587.41</v>
      </c>
      <c r="I41" s="472">
        <f t="shared" si="1"/>
        <v>7048.92</v>
      </c>
      <c r="J41" s="473">
        <f t="shared" si="0"/>
        <v>9.1556002293765584E-4</v>
      </c>
      <c r="K41" s="477">
        <f t="shared" si="2"/>
        <v>0.99768198716743017</v>
      </c>
      <c r="L41" s="423" t="s">
        <v>546</v>
      </c>
    </row>
    <row r="42" spans="1:12" ht="30">
      <c r="A42" s="484">
        <v>34</v>
      </c>
      <c r="B42" s="470" t="s">
        <v>95</v>
      </c>
      <c r="C42" s="470">
        <v>104796</v>
      </c>
      <c r="D42" s="471" t="s">
        <v>106</v>
      </c>
      <c r="E42" s="470" t="s">
        <v>897</v>
      </c>
      <c r="F42" s="470" t="s">
        <v>107</v>
      </c>
      <c r="G42" s="470">
        <v>330.64</v>
      </c>
      <c r="H42" s="472">
        <f>PLANILHA!H18</f>
        <v>16.29</v>
      </c>
      <c r="I42" s="472">
        <f t="shared" si="1"/>
        <v>5386.12</v>
      </c>
      <c r="J42" s="473">
        <f t="shared" si="0"/>
        <v>6.9958463860349772E-4</v>
      </c>
      <c r="K42" s="477">
        <f t="shared" si="2"/>
        <v>0.99838157180603371</v>
      </c>
      <c r="L42" s="423" t="s">
        <v>546</v>
      </c>
    </row>
    <row r="43" spans="1:12" ht="75">
      <c r="A43" s="483">
        <v>35</v>
      </c>
      <c r="B43" s="474" t="s">
        <v>95</v>
      </c>
      <c r="C43" s="474">
        <v>90084</v>
      </c>
      <c r="D43" s="475" t="s">
        <v>908</v>
      </c>
      <c r="E43" s="474" t="s">
        <v>894</v>
      </c>
      <c r="F43" s="474" t="s">
        <v>114</v>
      </c>
      <c r="G43" s="474">
        <v>314.5</v>
      </c>
      <c r="H43" s="476">
        <f>PLANILHA!H31</f>
        <v>13.97</v>
      </c>
      <c r="I43" s="472">
        <f t="shared" si="1"/>
        <v>4393.5600000000004</v>
      </c>
      <c r="J43" s="473">
        <f t="shared" si="0"/>
        <v>5.7066442722828001E-4</v>
      </c>
      <c r="K43" s="477">
        <f t="shared" si="2"/>
        <v>0.99895223623326201</v>
      </c>
      <c r="L43" s="423" t="s">
        <v>546</v>
      </c>
    </row>
    <row r="44" spans="1:12" ht="30">
      <c r="A44" s="484">
        <v>36</v>
      </c>
      <c r="B44" s="470" t="s">
        <v>263</v>
      </c>
      <c r="C44" s="470">
        <v>5213440</v>
      </c>
      <c r="D44" s="471" t="s">
        <v>202</v>
      </c>
      <c r="E44" s="470" t="s">
        <v>905</v>
      </c>
      <c r="F44" s="470" t="s">
        <v>48</v>
      </c>
      <c r="G44" s="470">
        <v>12</v>
      </c>
      <c r="H44" s="472">
        <f>PLANILHA!H78</f>
        <v>327.95</v>
      </c>
      <c r="I44" s="472">
        <f t="shared" si="1"/>
        <v>3935.4</v>
      </c>
      <c r="J44" s="473">
        <f t="shared" si="0"/>
        <v>5.1115559749136759E-4</v>
      </c>
      <c r="K44" s="477">
        <f t="shared" si="2"/>
        <v>0.99946339183075339</v>
      </c>
      <c r="L44" s="423" t="s">
        <v>546</v>
      </c>
    </row>
    <row r="45" spans="1:12" ht="30">
      <c r="A45" s="483">
        <v>37</v>
      </c>
      <c r="B45" s="474" t="s">
        <v>237</v>
      </c>
      <c r="C45" s="474">
        <v>103689</v>
      </c>
      <c r="D45" s="475" t="s">
        <v>96</v>
      </c>
      <c r="E45" s="474" t="s">
        <v>274</v>
      </c>
      <c r="F45" s="474" t="s">
        <v>97</v>
      </c>
      <c r="G45" s="474">
        <v>6</v>
      </c>
      <c r="H45" s="476">
        <f>PLANILHA!H14</f>
        <v>401.63</v>
      </c>
      <c r="I45" s="472">
        <f t="shared" si="1"/>
        <v>2409.7800000000002</v>
      </c>
      <c r="J45" s="473">
        <f t="shared" si="0"/>
        <v>3.1299805247821008E-4</v>
      </c>
      <c r="K45" s="477">
        <f t="shared" si="2"/>
        <v>0.99977638988323159</v>
      </c>
      <c r="L45" s="423" t="s">
        <v>546</v>
      </c>
    </row>
    <row r="46" spans="1:12" ht="15">
      <c r="A46" s="484">
        <v>38</v>
      </c>
      <c r="B46" s="470" t="s">
        <v>95</v>
      </c>
      <c r="C46" s="470">
        <v>99064</v>
      </c>
      <c r="D46" s="471" t="s">
        <v>160</v>
      </c>
      <c r="E46" s="470" t="s">
        <v>909</v>
      </c>
      <c r="F46" s="470" t="s">
        <v>107</v>
      </c>
      <c r="G46" s="470">
        <v>2869.3</v>
      </c>
      <c r="H46" s="472">
        <f>PLANILHA!H47</f>
        <v>0.6</v>
      </c>
      <c r="I46" s="472">
        <f t="shared" si="1"/>
        <v>1721.58</v>
      </c>
      <c r="J46" s="473">
        <f t="shared" si="0"/>
        <v>2.2361011676810201E-4</v>
      </c>
      <c r="K46" s="477">
        <f t="shared" si="2"/>
        <v>0.99999999999999967</v>
      </c>
      <c r="L46" s="423" t="s">
        <v>546</v>
      </c>
    </row>
    <row r="47" spans="1:12" ht="15">
      <c r="A47" s="485"/>
      <c r="B47" s="455"/>
      <c r="C47" s="455"/>
      <c r="D47" s="459"/>
      <c r="E47" s="455"/>
      <c r="F47" s="455"/>
      <c r="G47" s="455"/>
      <c r="H47" s="462"/>
      <c r="I47" s="462"/>
      <c r="J47" s="458"/>
      <c r="K47" s="458"/>
      <c r="L47" s="423"/>
    </row>
    <row r="48" spans="1:12" ht="15">
      <c r="A48" s="486"/>
      <c r="B48" s="460"/>
      <c r="C48" s="460"/>
      <c r="D48" s="464"/>
      <c r="E48" s="460"/>
      <c r="F48" s="460"/>
      <c r="G48" s="467" t="s">
        <v>910</v>
      </c>
      <c r="H48" s="461"/>
      <c r="I48" s="466">
        <f>SUM(I9:I47)</f>
        <v>7699025.5400000019</v>
      </c>
      <c r="J48" s="463"/>
      <c r="K48" s="463"/>
      <c r="L48" s="463"/>
    </row>
  </sheetData>
  <mergeCells count="2">
    <mergeCell ref="A3:C3"/>
    <mergeCell ref="D3:L3"/>
  </mergeCells>
  <pageMargins left="0.51181102362204722" right="0.31496062992125984" top="0.59055118110236227" bottom="0.59055118110236227" header="0.31496062992125984" footer="0.31496062992125984"/>
  <pageSetup paperSize="9" scale="7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84455-841E-443E-B67C-47501E003985}">
  <dimension ref="A1:L15"/>
  <sheetViews>
    <sheetView workbookViewId="0">
      <selection activeCell="L13" sqref="L13"/>
    </sheetView>
  </sheetViews>
  <sheetFormatPr defaultRowHeight="12.75"/>
  <cols>
    <col min="2" max="2" width="28.42578125" customWidth="1"/>
    <col min="3" max="3" width="7.85546875" customWidth="1"/>
    <col min="4" max="4" width="13.28515625" customWidth="1"/>
    <col min="5" max="5" width="13.7109375" customWidth="1"/>
    <col min="6" max="6" width="10.7109375" bestFit="1" customWidth="1"/>
    <col min="7" max="7" width="11.7109375" customWidth="1"/>
    <col min="8" max="8" width="18.28515625" customWidth="1"/>
    <col min="9" max="9" width="19.140625" bestFit="1" customWidth="1"/>
    <col min="10" max="11" width="15.5703125" customWidth="1"/>
    <col min="12" max="12" width="12.5703125" customWidth="1"/>
  </cols>
  <sheetData>
    <row r="1" spans="1:12" ht="15">
      <c r="A1" s="562"/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</row>
    <row r="2" spans="1:12" ht="15">
      <c r="A2" s="562"/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</row>
    <row r="3" spans="1:12" ht="15">
      <c r="A3" s="562"/>
      <c r="B3" s="562"/>
      <c r="C3" s="562"/>
      <c r="D3" s="562"/>
      <c r="E3" s="562"/>
      <c r="F3" s="562"/>
      <c r="G3" s="562"/>
      <c r="H3" s="562"/>
      <c r="I3" s="562"/>
      <c r="J3" s="562"/>
      <c r="K3" s="562"/>
      <c r="L3" s="562"/>
    </row>
    <row r="5" spans="1:12" ht="27" customHeight="1">
      <c r="A5" s="655" t="s">
        <v>911</v>
      </c>
      <c r="B5" s="655"/>
      <c r="C5" s="655"/>
      <c r="D5" s="655"/>
      <c r="E5" s="655"/>
      <c r="F5" s="655"/>
      <c r="G5" s="655"/>
      <c r="H5" s="655"/>
      <c r="I5" s="655"/>
      <c r="J5" s="426"/>
      <c r="K5" s="426"/>
    </row>
    <row r="6" spans="1:12" ht="21" customHeight="1">
      <c r="A6" s="431"/>
      <c r="B6" s="431"/>
      <c r="C6" s="432"/>
      <c r="D6" s="376" t="s">
        <v>912</v>
      </c>
      <c r="E6" s="376" t="s">
        <v>913</v>
      </c>
      <c r="F6" s="376" t="s">
        <v>912</v>
      </c>
      <c r="G6" s="376" t="s">
        <v>913</v>
      </c>
      <c r="H6" s="376" t="s">
        <v>914</v>
      </c>
      <c r="I6" s="376" t="s">
        <v>915</v>
      </c>
      <c r="J6" s="376" t="s">
        <v>916</v>
      </c>
      <c r="K6" s="376" t="s">
        <v>917</v>
      </c>
      <c r="L6" s="376" t="s">
        <v>918</v>
      </c>
    </row>
    <row r="7" spans="1:12" ht="25.5">
      <c r="A7" s="653" t="s">
        <v>919</v>
      </c>
      <c r="B7" s="654"/>
      <c r="C7" s="654"/>
      <c r="D7" s="429" t="s">
        <v>920</v>
      </c>
      <c r="E7" s="429" t="s">
        <v>921</v>
      </c>
      <c r="F7" s="429" t="s">
        <v>920</v>
      </c>
      <c r="G7" s="429" t="s">
        <v>921</v>
      </c>
      <c r="H7" s="376" t="s">
        <v>920</v>
      </c>
      <c r="I7" s="376" t="s">
        <v>922</v>
      </c>
      <c r="J7" s="429" t="s">
        <v>921</v>
      </c>
      <c r="K7" s="429" t="s">
        <v>923</v>
      </c>
      <c r="L7" s="656"/>
    </row>
    <row r="8" spans="1:12" ht="25.5" customHeight="1">
      <c r="A8" s="653" t="s">
        <v>924</v>
      </c>
      <c r="B8" s="654"/>
      <c r="C8" s="654"/>
      <c r="D8" s="427"/>
      <c r="E8" s="427"/>
      <c r="F8" s="427"/>
      <c r="G8" s="433"/>
      <c r="H8" s="378" t="s">
        <v>925</v>
      </c>
      <c r="I8" s="378" t="s">
        <v>926</v>
      </c>
      <c r="J8" s="435" t="s">
        <v>927</v>
      </c>
      <c r="K8" s="435" t="s">
        <v>928</v>
      </c>
      <c r="L8" s="657"/>
    </row>
    <row r="9" spans="1:12" ht="25.5" customHeight="1">
      <c r="A9" s="653" t="s">
        <v>929</v>
      </c>
      <c r="B9" s="654"/>
      <c r="C9" s="654"/>
      <c r="D9" s="427"/>
      <c r="E9" s="427"/>
      <c r="F9" s="427"/>
      <c r="G9" s="433"/>
      <c r="H9" s="434">
        <v>45313</v>
      </c>
      <c r="I9" s="434">
        <v>45328</v>
      </c>
      <c r="J9" s="436">
        <v>45337</v>
      </c>
      <c r="K9" s="436">
        <v>45338</v>
      </c>
      <c r="L9" s="657"/>
    </row>
    <row r="10" spans="1:12" ht="25.5" customHeight="1">
      <c r="A10" s="653" t="s">
        <v>930</v>
      </c>
      <c r="B10" s="654"/>
      <c r="C10" s="654"/>
      <c r="D10" s="427"/>
      <c r="E10" s="427"/>
      <c r="F10" s="427"/>
      <c r="G10" s="433"/>
      <c r="H10" s="378" t="s">
        <v>931</v>
      </c>
      <c r="I10" s="378" t="s">
        <v>932</v>
      </c>
      <c r="J10" s="435" t="s">
        <v>933</v>
      </c>
      <c r="K10" s="435" t="s">
        <v>933</v>
      </c>
      <c r="L10" s="657"/>
    </row>
    <row r="11" spans="1:12" ht="21" customHeight="1">
      <c r="A11" s="653" t="s">
        <v>934</v>
      </c>
      <c r="B11" s="654"/>
      <c r="C11" s="654"/>
      <c r="D11" s="427"/>
      <c r="E11" s="427"/>
      <c r="F11" s="427"/>
      <c r="G11" s="433"/>
      <c r="H11" s="434" t="s">
        <v>935</v>
      </c>
      <c r="I11" s="378" t="s">
        <v>936</v>
      </c>
      <c r="J11" s="378" t="s">
        <v>937</v>
      </c>
      <c r="K11" s="378" t="s">
        <v>938</v>
      </c>
      <c r="L11" s="658"/>
    </row>
    <row r="12" spans="1:12" ht="21.75" customHeight="1">
      <c r="A12" s="376" t="s">
        <v>79</v>
      </c>
      <c r="B12" s="376" t="s">
        <v>939</v>
      </c>
      <c r="C12" s="376" t="s">
        <v>122</v>
      </c>
      <c r="D12" s="428" t="s">
        <v>940</v>
      </c>
      <c r="E12" s="428" t="s">
        <v>940</v>
      </c>
      <c r="F12" s="428" t="s">
        <v>941</v>
      </c>
      <c r="G12" s="430" t="s">
        <v>941</v>
      </c>
      <c r="H12" s="376" t="s">
        <v>942</v>
      </c>
      <c r="I12" s="376" t="s">
        <v>942</v>
      </c>
      <c r="J12" s="376" t="s">
        <v>942</v>
      </c>
      <c r="K12" s="376" t="s">
        <v>942</v>
      </c>
      <c r="L12" s="376" t="s">
        <v>918</v>
      </c>
    </row>
    <row r="13" spans="1:12" ht="20.100000000000001" customHeight="1">
      <c r="A13" s="377">
        <v>1</v>
      </c>
      <c r="B13" s="379" t="s">
        <v>943</v>
      </c>
      <c r="C13" s="378" t="s">
        <v>656</v>
      </c>
      <c r="D13" s="380">
        <v>5408</v>
      </c>
      <c r="E13" s="380">
        <v>4110</v>
      </c>
      <c r="F13" s="380">
        <v>710</v>
      </c>
      <c r="G13" s="380">
        <v>2850</v>
      </c>
      <c r="H13" s="380">
        <f>D13+F13</f>
        <v>6118</v>
      </c>
      <c r="I13" s="380">
        <v>5900</v>
      </c>
      <c r="J13" s="380">
        <f>E13+G13</f>
        <v>6960</v>
      </c>
      <c r="K13" s="380">
        <v>4395.12</v>
      </c>
      <c r="L13" s="381">
        <f>AVERAGE(H13:K13)</f>
        <v>5843.28</v>
      </c>
    </row>
    <row r="14" spans="1:12" ht="20.100000000000001" customHeight="1">
      <c r="A14" s="377">
        <v>2</v>
      </c>
      <c r="B14" s="379" t="s">
        <v>944</v>
      </c>
      <c r="C14" s="378" t="s">
        <v>656</v>
      </c>
      <c r="D14" s="380">
        <v>7929</v>
      </c>
      <c r="E14" s="380">
        <v>6080</v>
      </c>
      <c r="F14" s="380">
        <v>710</v>
      </c>
      <c r="G14" s="380">
        <v>2850</v>
      </c>
      <c r="H14" s="380">
        <f>D14+F14</f>
        <v>8639</v>
      </c>
      <c r="I14" s="380">
        <v>7200</v>
      </c>
      <c r="J14" s="380">
        <f>E14+G14</f>
        <v>8930</v>
      </c>
      <c r="K14" s="380">
        <v>5854.01</v>
      </c>
      <c r="L14" s="381">
        <f>AVERAGE(H14:K14)</f>
        <v>7655.7525000000005</v>
      </c>
    </row>
    <row r="15" spans="1:12" ht="20.100000000000001" customHeight="1">
      <c r="A15" s="377">
        <v>3</v>
      </c>
      <c r="B15" s="379" t="s">
        <v>945</v>
      </c>
      <c r="C15" s="378" t="s">
        <v>656</v>
      </c>
      <c r="D15" s="380">
        <v>6260</v>
      </c>
      <c r="E15" s="380">
        <v>4410</v>
      </c>
      <c r="F15" s="380">
        <v>710</v>
      </c>
      <c r="G15" s="380">
        <v>2850</v>
      </c>
      <c r="H15" s="380">
        <f>D15+F15</f>
        <v>6970</v>
      </c>
      <c r="I15" s="380">
        <v>6937</v>
      </c>
      <c r="J15" s="380">
        <f>E15+G15</f>
        <v>7260</v>
      </c>
      <c r="K15" s="380">
        <v>4877.3</v>
      </c>
      <c r="L15" s="381">
        <f>AVERAGE(H15:K15)</f>
        <v>6511.0749999999998</v>
      </c>
    </row>
  </sheetData>
  <mergeCells count="10">
    <mergeCell ref="A1:L1"/>
    <mergeCell ref="A2:L2"/>
    <mergeCell ref="A3:L3"/>
    <mergeCell ref="A5:I5"/>
    <mergeCell ref="L7:L11"/>
    <mergeCell ref="A7:C7"/>
    <mergeCell ref="A9:C9"/>
    <mergeCell ref="A10:C10"/>
    <mergeCell ref="A11:C11"/>
    <mergeCell ref="A8:C8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8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6BFBA-5D8C-4A76-9558-C49809C57DDA}">
  <dimension ref="A1:I10"/>
  <sheetViews>
    <sheetView workbookViewId="0">
      <selection activeCell="A15" sqref="A15"/>
    </sheetView>
  </sheetViews>
  <sheetFormatPr defaultRowHeight="12.75"/>
  <cols>
    <col min="1" max="1" width="108.7109375" customWidth="1"/>
    <col min="2" max="2" width="35.140625" customWidth="1"/>
  </cols>
  <sheetData>
    <row r="1" spans="1:9" ht="27.75" customHeight="1">
      <c r="A1" s="562"/>
      <c r="B1" s="562"/>
      <c r="C1" s="344"/>
      <c r="D1" s="344"/>
      <c r="E1" s="344"/>
      <c r="F1" s="344"/>
      <c r="G1" s="344"/>
      <c r="H1" s="344"/>
      <c r="I1" s="344"/>
    </row>
    <row r="2" spans="1:9" ht="24.75" customHeight="1">
      <c r="A2" s="562"/>
      <c r="B2" s="562"/>
      <c r="C2" s="344"/>
      <c r="D2" s="344"/>
      <c r="E2" s="344"/>
      <c r="F2" s="344"/>
      <c r="G2" s="344"/>
      <c r="H2" s="344"/>
      <c r="I2" s="344"/>
    </row>
    <row r="3" spans="1:9" ht="33" customHeight="1" thickBot="1">
      <c r="A3" s="562"/>
      <c r="B3" s="562"/>
      <c r="C3" s="344"/>
      <c r="D3" s="344"/>
      <c r="E3" s="344"/>
      <c r="F3" s="344"/>
      <c r="G3" s="344"/>
      <c r="H3" s="344"/>
      <c r="I3" s="344"/>
    </row>
    <row r="4" spans="1:9" ht="25.5" customHeight="1">
      <c r="A4" s="417" t="s">
        <v>946</v>
      </c>
      <c r="B4" s="418">
        <v>0.25</v>
      </c>
    </row>
    <row r="5" spans="1:9" ht="26.25" customHeight="1">
      <c r="A5" s="412" t="s">
        <v>947</v>
      </c>
      <c r="B5" s="413">
        <v>8</v>
      </c>
    </row>
    <row r="6" spans="1:9" ht="26.25" customHeight="1">
      <c r="A6" s="412" t="s">
        <v>948</v>
      </c>
      <c r="B6" s="413">
        <v>8</v>
      </c>
    </row>
    <row r="7" spans="1:9" ht="25.5" customHeight="1">
      <c r="A7" s="412" t="s">
        <v>949</v>
      </c>
      <c r="B7" s="413">
        <f>PLANILHA!F18</f>
        <v>330.64000000000004</v>
      </c>
    </row>
    <row r="8" spans="1:9" ht="24.75" customHeight="1">
      <c r="A8" s="412" t="s">
        <v>950</v>
      </c>
      <c r="B8" s="413">
        <v>0.1</v>
      </c>
    </row>
    <row r="9" spans="1:9" ht="24" customHeight="1">
      <c r="A9" s="412" t="s">
        <v>951</v>
      </c>
      <c r="B9" s="414">
        <v>1.875</v>
      </c>
    </row>
    <row r="10" spans="1:9" ht="27.75" customHeight="1" thickBot="1">
      <c r="A10" s="415" t="s">
        <v>952</v>
      </c>
      <c r="B10" s="416">
        <v>6</v>
      </c>
    </row>
  </sheetData>
  <mergeCells count="3">
    <mergeCell ref="A1:B1"/>
    <mergeCell ref="A2:B2"/>
    <mergeCell ref="A3:B3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X</cp:lastModifiedBy>
  <cp:revision/>
  <dcterms:created xsi:type="dcterms:W3CDTF">2002-05-08T18:16:09Z</dcterms:created>
  <dcterms:modified xsi:type="dcterms:W3CDTF">2024-05-27T19:58:08Z</dcterms:modified>
  <cp:category/>
  <cp:contentStatus/>
</cp:coreProperties>
</file>